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HJcqxEbTKQ2tzM0YcEF+vKWNzkPCy/PytoCVdMtr5lvSZrzClx8si6LdIytFZU9PFkup3NdCBHhweHBQLltw==" workbookSaltValue="T2xErqqNNJT5Se/B3qxr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AH14" i="16"/>
  <c r="AO14" i="21"/>
  <c r="AP14" i="16"/>
  <c r="F11" i="16"/>
  <c r="BL11" i="16" s="1"/>
  <c r="T23" i="17"/>
  <c r="T26" i="17" s="1"/>
  <c r="T30" i="17" s="1"/>
  <c r="U26" i="16"/>
  <c r="BG16"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H28" i="2"/>
  <c r="I13" i="14"/>
  <c r="BG17" i="13"/>
  <c r="BD17" i="13"/>
  <c r="BE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AO16" i="17"/>
  <c r="AM20" i="11"/>
  <c r="I16" i="12"/>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AA31" i="11"/>
  <c r="BV30" i="16"/>
  <c r="Q16" i="11"/>
  <c r="BU33" i="17"/>
  <c r="R14" i="21"/>
  <c r="R31" i="21" s="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<sst xmlns="http://schemas.openxmlformats.org/spreadsheetml/2006/main" count="2682" uniqueCount="1193">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</sst>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DD1Agy3Gbqk/yP4u52badJyCdaMd/w1OILt3lJJd0ziXteIvSdFOAA3hxzAAblsanYkk+Ch3hSIlxPvYXAGsg==" saltValue="o9FhpQCFgoHMmR1eLvhd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6</v>
      </c>
      <c r="F10" s="240">
        <f>IF(ISNUMBER(Datos!K10),Datos!K10," - ")</f>
        <v>6</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8.5690000000000008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330</v>
      </c>
      <c r="D17" s="239">
        <f>IF(ISNUMBER(IF(D_I="SI",Datos!I17,Datos!I17+Datos!AC17)),IF(D_I="SI",Datos!I17,Datos!I17+Datos!AC17)," - ")</f>
        <v>261</v>
      </c>
      <c r="E17" s="240">
        <f>IF(ISNUMBER(IF(D_I="SI",Datos!J17,Datos!J17+Datos!AD17)),IF(D_I="SI",Datos!J17,Datos!J17+Datos!AD17)," - ")</f>
        <v>1185</v>
      </c>
      <c r="F17" s="240">
        <f>IF(ISNUMBER(IF(D_I="SI",Datos!K17,Datos!K17+Datos!AE17)),IF(D_I="SI",Datos!K17,Datos!K17+Datos!AE17)," - ")</f>
        <v>1176</v>
      </c>
      <c r="G17" s="1390" t="str">
        <f>IF(Datos!E17&lt;&gt;"",Datos!E17,Datos!D17)</f>
        <v>04</v>
      </c>
      <c r="H17" s="241">
        <f>IF(ISNUMBER(IF(D_I="SI",Datos!L17,Datos!L17+Datos!AF17)),IF(D_I="SI",Datos!L17,Datos!L17+Datos!AF17)," - ")</f>
        <v>339</v>
      </c>
      <c r="I17" s="1400" t="str">
        <f>IF(ISNUMBER(Datos!AS17/Datos!BM17),Datos!AS17/Datos!BM17," - ")</f>
        <v xml:space="preserve"> - </v>
      </c>
      <c r="J17" s="1401">
        <f>IF(ISNUMBER(Datos!BY17/Datos!CN17),Datos!BY17/Datos!CN17," - ")</f>
        <v>0</v>
      </c>
      <c r="K17" s="244">
        <f t="shared" si="3"/>
        <v>2.7272727272727271E-2</v>
      </c>
      <c r="L17" s="1402">
        <f>IF(ISNUMBER(NºAsuntos!I17/NºAsuntos!G17),(NºAsuntos!I17/NºAsuntos!G17)*11," - ")</f>
        <v>3.170918367346939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83</v>
      </c>
      <c r="F18" s="240">
        <f>IF(ISNUMBER(IF(D_I="SI",Datos!K18,Datos!K18+Datos!AE18)),IF(D_I="SI",Datos!K18,Datos!K18+Datos!AE18)," - ")</f>
        <v>97</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-0.82352941176470584</v>
      </c>
      <c r="L18" s="1402">
        <f>IF(ISNUMBER(NºAsuntos!I18/NºAsuntos!G18),(NºAsuntos!I18/NºAsuntos!G18)*11," - ")</f>
        <v>0.34020618556701032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278</v>
      </c>
      <c r="E23" s="1408">
        <f>SUBTOTAL(9,E16:E22)</f>
        <v>1268</v>
      </c>
      <c r="F23" s="1408">
        <f>SUBTOTAL(9,F16:F22)</f>
        <v>1273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347</v>
      </c>
      <c r="D31" s="1435">
        <f>SUBTOTAL(9,D9:D30)</f>
        <v>278</v>
      </c>
      <c r="E31" s="1436">
        <f>SUBTOTAL(9,E9:E30)</f>
        <v>1274</v>
      </c>
      <c r="F31" s="1436">
        <f>SUBTOTAL(9,F9:F30)</f>
        <v>1279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SqRhAIKN5mxZQX2jvqETHzLtvwf6nEl2q0Pika+uGqQ1gJk7r4NSd6gnBqPVvvB7QaqW9ntzU0ovGtcP3KNog==" saltValue="NeoRypUr+oqVywIduR+U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wayaNUnoNjLRPpP3JmMlAr9NoddPFQxIUHTysBb/kQxWUyZ4JIJD9/tCpR/T2pxpc/xtHj1l9DijB9OwjlIZg==" saltValue="9VqA8RIcbE3hP5ivDta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6</v>
      </c>
      <c r="K10" s="194">
        <v>6</v>
      </c>
      <c r="L10" s="194">
        <v>0</v>
      </c>
      <c r="M10" s="194">
        <v>5</v>
      </c>
      <c r="N10" s="194">
        <v>0</v>
      </c>
      <c r="O10" s="194">
        <v>0</v>
      </c>
      <c r="P10" s="194">
        <v>0</v>
      </c>
      <c r="Q10" s="194">
        <v>0</v>
      </c>
      <c r="R10" s="194">
        <v>0</v>
      </c>
      <c r="S10" s="194">
        <v>0</v>
      </c>
      <c r="T10" s="194">
        <v>7</v>
      </c>
      <c r="U10" s="194">
        <v>7</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7</v>
      </c>
      <c r="BA10" s="139">
        <f t="shared" si="0"/>
        <v>7</v>
      </c>
      <c r="BB10" s="139">
        <f t="shared" si="0"/>
        <v>0</v>
      </c>
      <c r="BC10" s="135">
        <f t="shared" si="0"/>
        <v>1</v>
      </c>
      <c r="BD10" s="136">
        <f>IF(ISNUMBER(BA10/AZ10),BA10/AZ10," - ")</f>
        <v>1</v>
      </c>
      <c r="BE10" s="137">
        <f>IF(ISNUMBER(BB10/BA10),BB10/BA10, " - ")</f>
        <v>0</v>
      </c>
      <c r="BF10" s="137">
        <f>IF(ISNUMBER(BC10/BA10),BC10/BA10, " - ")</f>
        <v>0.14285714285714285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765</v>
      </c>
      <c r="J12" s="196">
        <v>946</v>
      </c>
      <c r="K12" s="196">
        <v>943</v>
      </c>
      <c r="L12" s="196">
        <v>768</v>
      </c>
      <c r="M12" s="196">
        <v>189</v>
      </c>
      <c r="N12" s="196">
        <v>296</v>
      </c>
      <c r="O12" s="194">
        <v>436</v>
      </c>
      <c r="P12" s="196">
        <v>282</v>
      </c>
      <c r="Q12" s="196">
        <v>543</v>
      </c>
      <c r="R12" s="196">
        <v>1226</v>
      </c>
      <c r="S12" s="196">
        <v>785</v>
      </c>
      <c r="T12" s="196">
        <v>920</v>
      </c>
      <c r="U12" s="196">
        <v>1076</v>
      </c>
      <c r="V12" s="196">
        <v>765</v>
      </c>
      <c r="W12" s="196">
        <v>115</v>
      </c>
      <c r="X12" s="202">
        <v>278</v>
      </c>
      <c r="Y12" s="204">
        <v>17</v>
      </c>
      <c r="Z12" s="194">
        <v>51</v>
      </c>
      <c r="AA12" s="194">
        <v>57</v>
      </c>
      <c r="AB12" s="194">
        <v>11</v>
      </c>
      <c r="AC12" s="196">
        <v>0</v>
      </c>
      <c r="AD12" s="196">
        <v>0</v>
      </c>
      <c r="AE12" s="196">
        <v>0</v>
      </c>
      <c r="AF12" s="202">
        <v>0</v>
      </c>
      <c r="AG12" s="215">
        <v>7</v>
      </c>
      <c r="AH12" s="196">
        <v>48</v>
      </c>
      <c r="AI12" s="196">
        <v>46</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792</v>
      </c>
      <c r="AZ12" s="137">
        <f t="shared" si="1"/>
        <v>968</v>
      </c>
      <c r="BA12" s="137">
        <f t="shared" si="1"/>
        <v>1122</v>
      </c>
      <c r="BB12" s="137">
        <f t="shared" si="1"/>
        <v>782</v>
      </c>
      <c r="BC12" s="135">
        <f>IF(ISNUMBER(X12),X12," - ")</f>
        <v>278</v>
      </c>
      <c r="BD12" s="136">
        <f t="shared" si="2"/>
        <v>1.1590909090909092</v>
      </c>
      <c r="BE12" s="137">
        <f t="shared" si="3"/>
        <v>0.69696969696969702</v>
      </c>
      <c r="BF12" s="137">
        <f t="shared" si="4"/>
        <v>0.24777183600713013</v>
      </c>
      <c r="BG12" s="209">
        <f t="shared" si="5"/>
        <v>1.5686274509803921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765</v>
      </c>
      <c r="J14" s="197">
        <f t="shared" si="7"/>
        <v>952</v>
      </c>
      <c r="K14" s="197">
        <f t="shared" si="7"/>
        <v>949</v>
      </c>
      <c r="L14" s="197">
        <f t="shared" si="7"/>
        <v>768</v>
      </c>
      <c r="M14" s="197">
        <f t="shared" si="7"/>
        <v>194</v>
      </c>
      <c r="N14" s="197">
        <f t="shared" si="7"/>
        <v>296</v>
      </c>
      <c r="O14" s="197">
        <f t="shared" si="7"/>
        <v>436</v>
      </c>
      <c r="P14" s="197">
        <f t="shared" si="7"/>
        <v>282</v>
      </c>
      <c r="Q14" s="197">
        <f t="shared" si="7"/>
        <v>543</v>
      </c>
      <c r="R14" s="197">
        <f t="shared" si="7"/>
        <v>1226</v>
      </c>
      <c r="S14" s="197">
        <f t="shared" si="7"/>
        <v>785</v>
      </c>
      <c r="T14" s="197">
        <f t="shared" si="7"/>
        <v>927</v>
      </c>
      <c r="U14" s="197">
        <f t="shared" si="7"/>
        <v>1083</v>
      </c>
      <c r="V14" s="197">
        <f t="shared" si="7"/>
        <v>765</v>
      </c>
      <c r="W14" s="197">
        <f t="shared" si="7"/>
        <v>116</v>
      </c>
      <c r="X14" s="197">
        <f t="shared" si="7"/>
        <v>278</v>
      </c>
      <c r="Y14" s="197">
        <f t="shared" si="7"/>
        <v>17</v>
      </c>
      <c r="Z14" s="197">
        <f t="shared" si="7"/>
        <v>51</v>
      </c>
      <c r="AA14" s="197">
        <f t="shared" si="7"/>
        <v>57</v>
      </c>
      <c r="AB14" s="197">
        <f t="shared" si="7"/>
        <v>11</v>
      </c>
      <c r="AC14" s="197">
        <f t="shared" si="7"/>
        <v>0</v>
      </c>
      <c r="AD14" s="197">
        <f t="shared" si="7"/>
        <v>0</v>
      </c>
      <c r="AE14" s="197">
        <f t="shared" si="7"/>
        <v>0</v>
      </c>
      <c r="AF14" s="197">
        <f>SUBTOTAL(9,AF9:AF13)</f>
        <v>0</v>
      </c>
      <c r="AG14" s="197">
        <f t="shared" ref="AG14:AT14" si="8">SUBTOTAL(9,AG8:AG13)</f>
        <v>7</v>
      </c>
      <c r="AH14" s="197">
        <f t="shared" si="8"/>
        <v>48</v>
      </c>
      <c r="AI14" s="197">
        <f t="shared" si="8"/>
        <v>46</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792</v>
      </c>
      <c r="AZ14" s="197">
        <f>SUBTOTAL(9,AZ8:AZ13)</f>
        <v>975</v>
      </c>
      <c r="BA14" s="197">
        <f>SUBTOTAL(9,BA8:BA13)</f>
        <v>1129</v>
      </c>
      <c r="BB14" s="197">
        <f>SUBTOTAL(9,BB8:BB13)</f>
        <v>782</v>
      </c>
      <c r="BC14" s="197">
        <f>SUBTOTAL(9,BC8:BC13)</f>
        <v>279</v>
      </c>
      <c r="BD14" s="219">
        <f>IF(ISNUMBER(BA14/AZ14),BA14/AZ14," - ")</f>
        <v>1.157948717948718</v>
      </c>
      <c r="BE14" s="220">
        <f>IF(ISNUMBER(BB14/BA14),BB14/BA14, " - ")</f>
        <v>0.69264836138175379</v>
      </c>
      <c r="BF14" s="220">
        <f>IF(ISNUMBER(BC14/BA14),BC14/BA14, " - ")</f>
        <v>0.2471213463241807</v>
      </c>
      <c r="BG14" s="221">
        <f>IF(ISNUMBER((AY14+AZ14)/BA14),(AY14+AZ14)/BA14," - ")</f>
        <v>1.5651018600531443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261</v>
      </c>
      <c r="J17" s="196">
        <v>1185</v>
      </c>
      <c r="K17" s="196">
        <v>1176</v>
      </c>
      <c r="L17" s="196">
        <v>339</v>
      </c>
      <c r="M17" s="196">
        <v>190</v>
      </c>
      <c r="N17" s="196">
        <v>714</v>
      </c>
      <c r="O17" s="194">
        <v>0</v>
      </c>
      <c r="P17" s="196">
        <v>20</v>
      </c>
      <c r="Q17" s="196">
        <v>34</v>
      </c>
      <c r="R17" s="196">
        <v>24</v>
      </c>
      <c r="S17" s="196">
        <v>217</v>
      </c>
      <c r="T17" s="196">
        <v>498</v>
      </c>
      <c r="U17" s="196">
        <v>436</v>
      </c>
      <c r="V17" s="196">
        <v>261</v>
      </c>
      <c r="W17" s="196">
        <v>142</v>
      </c>
      <c r="X17" s="202">
        <v>204</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217</v>
      </c>
      <c r="AZ17" s="137">
        <f t="shared" si="10"/>
        <v>498</v>
      </c>
      <c r="BA17" s="137">
        <f t="shared" si="10"/>
        <v>436</v>
      </c>
      <c r="BB17" s="137">
        <f t="shared" si="10"/>
        <v>261</v>
      </c>
      <c r="BC17" s="135">
        <f>IF(ISNUMBER(W17),W17," - ")</f>
        <v>142</v>
      </c>
      <c r="BD17" s="136">
        <f t="shared" ref="BD17:BD22" si="12">IF(ISNUMBER(BA17/AZ17),BA17/AZ17," - ")</f>
        <v>0.87550200803212852</v>
      </c>
      <c r="BE17" s="137">
        <f t="shared" ref="BE17:BE22" si="13">IF(ISNUMBER(BB17/BA17),BB17/BA17, " - ")</f>
        <v>0.59862385321100919</v>
      </c>
      <c r="BF17" s="137">
        <f t="shared" ref="BF17:BF22" si="14">IF(ISNUMBER(BC17/BA17),BC17/BA17, " - ")</f>
        <v>0.3256880733944954</v>
      </c>
      <c r="BG17" s="209">
        <f t="shared" si="11"/>
        <v>1.6399082568807339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83</v>
      </c>
      <c r="K18" s="196">
        <v>97</v>
      </c>
      <c r="L18" s="196">
        <v>3</v>
      </c>
      <c r="M18" s="196">
        <v>9</v>
      </c>
      <c r="N18" s="196">
        <v>47</v>
      </c>
      <c r="O18" s="196">
        <v>0</v>
      </c>
      <c r="P18" s="196">
        <v>0</v>
      </c>
      <c r="Q18" s="196">
        <v>0</v>
      </c>
      <c r="R18" s="196">
        <v>0</v>
      </c>
      <c r="S18" s="196">
        <v>13</v>
      </c>
      <c r="T18" s="196">
        <v>61</v>
      </c>
      <c r="U18" s="196">
        <v>57</v>
      </c>
      <c r="V18" s="196">
        <v>17</v>
      </c>
      <c r="W18" s="196">
        <v>10</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61</v>
      </c>
      <c r="BA18" s="139">
        <f t="shared" si="15"/>
        <v>57</v>
      </c>
      <c r="BB18" s="139">
        <f t="shared" si="15"/>
        <v>17</v>
      </c>
      <c r="BC18" s="135">
        <f>IF(ISNUMBER(W18),W18," - ")</f>
        <v>10</v>
      </c>
      <c r="BD18" s="136">
        <f>IF(ISNUMBER(BA18/AZ18),BA18/AZ18," - ")</f>
        <v>0.93442622950819676</v>
      </c>
      <c r="BE18" s="137">
        <f>IF(ISNUMBER(BB18/BA18),BB18/BA18, " - ")</f>
        <v>0.2982456140350877</v>
      </c>
      <c r="BF18" s="137">
        <f>IF(ISNUMBER(BC18/BA18),BC18/BA18, " - ")</f>
        <v>0.17543859649122806</v>
      </c>
      <c r="BG18" s="209">
        <f>IF(ISNUMBER((AY18+AZ18)/BA18),(AY18+AZ18)/BA18," - ")</f>
        <v>1.2982456140350878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278</v>
      </c>
      <c r="J23" s="197">
        <f t="shared" si="21"/>
        <v>1268</v>
      </c>
      <c r="K23" s="197">
        <f t="shared" si="21"/>
        <v>1273</v>
      </c>
      <c r="L23" s="197">
        <f t="shared" si="21"/>
        <v>342</v>
      </c>
      <c r="M23" s="197">
        <f t="shared" si="21"/>
        <v>199</v>
      </c>
      <c r="N23" s="197">
        <f t="shared" si="21"/>
        <v>761</v>
      </c>
      <c r="O23" s="197">
        <f t="shared" si="21"/>
        <v>0</v>
      </c>
      <c r="P23" s="197">
        <f t="shared" si="21"/>
        <v>20</v>
      </c>
      <c r="Q23" s="197">
        <f t="shared" si="21"/>
        <v>34</v>
      </c>
      <c r="R23" s="197">
        <f t="shared" si="21"/>
        <v>24</v>
      </c>
      <c r="S23" s="197">
        <f t="shared" si="21"/>
        <v>230</v>
      </c>
      <c r="T23" s="197">
        <f t="shared" si="21"/>
        <v>559</v>
      </c>
      <c r="U23" s="197">
        <f t="shared" si="21"/>
        <v>493</v>
      </c>
      <c r="V23" s="197">
        <f t="shared" si="21"/>
        <v>278</v>
      </c>
      <c r="W23" s="197">
        <f t="shared" si="21"/>
        <v>152</v>
      </c>
      <c r="X23" s="197">
        <f t="shared" si="21"/>
        <v>231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230</v>
      </c>
      <c r="AZ23" s="197">
        <f>SUBTOTAL(9,AZ15:AZ22)</f>
        <v>559</v>
      </c>
      <c r="BA23" s="197">
        <f>SUBTOTAL(9,BA15:BA22)</f>
        <v>493</v>
      </c>
      <c r="BB23" s="197">
        <f>SUBTOTAL(9,BB15:BB22)</f>
        <v>278</v>
      </c>
      <c r="BC23" s="197">
        <f>SUBTOTAL(9,BC15:BC22)</f>
        <v>152</v>
      </c>
      <c r="BD23" s="219">
        <f>IF(ISNUMBER(BA23/AZ23),BA23/AZ23," - ")</f>
        <v>0.88193202146690519</v>
      </c>
      <c r="BE23" s="220">
        <f>IF(ISNUMBER(BB23/BA23),BB23/BA23, " - ")</f>
        <v>0.56389452332657197</v>
      </c>
      <c r="BF23" s="220">
        <f>IF(ISNUMBER(BC23/BA23),BC23/BA23, " - ")</f>
        <v>0.30831643002028397</v>
      </c>
      <c r="BG23" s="221">
        <f>IF(ISNUMBER((AY23+AZ23)/BA23),(AY23+AZ23)/BA23," - ")</f>
        <v>1.6004056795131847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1043</v>
      </c>
      <c r="J31" s="144">
        <f t="shared" si="36"/>
        <v>2220</v>
      </c>
      <c r="K31" s="144">
        <f t="shared" si="36"/>
        <v>2222</v>
      </c>
      <c r="L31" s="144">
        <f t="shared" si="36"/>
        <v>1110</v>
      </c>
      <c r="M31" s="144">
        <f t="shared" si="36"/>
        <v>393</v>
      </c>
      <c r="N31" s="144">
        <f t="shared" si="36"/>
        <v>1057</v>
      </c>
      <c r="O31" s="144">
        <f t="shared" si="36"/>
        <v>436</v>
      </c>
      <c r="P31" s="144">
        <f t="shared" si="36"/>
        <v>302</v>
      </c>
      <c r="Q31" s="144">
        <f t="shared" si="36"/>
        <v>577</v>
      </c>
      <c r="R31" s="144">
        <f t="shared" si="36"/>
        <v>1250</v>
      </c>
      <c r="S31" s="144">
        <f t="shared" si="36"/>
        <v>1015</v>
      </c>
      <c r="T31" s="144">
        <f t="shared" si="36"/>
        <v>1486</v>
      </c>
      <c r="U31" s="144">
        <f t="shared" si="36"/>
        <v>1576</v>
      </c>
      <c r="V31" s="144">
        <f t="shared" si="36"/>
        <v>1043</v>
      </c>
      <c r="W31" s="144">
        <f t="shared" si="36"/>
        <v>268</v>
      </c>
      <c r="X31" s="144">
        <f t="shared" si="36"/>
        <v>509</v>
      </c>
      <c r="Y31" s="144">
        <f t="shared" si="36"/>
        <v>17</v>
      </c>
      <c r="Z31" s="144">
        <f t="shared" si="36"/>
        <v>51</v>
      </c>
      <c r="AA31" s="144">
        <f t="shared" si="36"/>
        <v>57</v>
      </c>
      <c r="AB31" s="144">
        <f t="shared" si="36"/>
        <v>11</v>
      </c>
      <c r="AC31" s="144">
        <f t="shared" si="36"/>
        <v>0</v>
      </c>
      <c r="AD31" s="144">
        <f t="shared" si="36"/>
        <v>1</v>
      </c>
      <c r="AE31" s="144">
        <f t="shared" si="36"/>
        <v>1</v>
      </c>
      <c r="AF31" s="144">
        <f t="shared" si="36"/>
        <v>0</v>
      </c>
      <c r="AG31" s="144">
        <f t="shared" si="36"/>
        <v>7</v>
      </c>
      <c r="AH31" s="144">
        <f t="shared" si="36"/>
        <v>48</v>
      </c>
      <c r="AI31" s="144">
        <f t="shared" si="36"/>
        <v>46</v>
      </c>
      <c r="AJ31" s="144">
        <f t="shared" si="36"/>
        <v>17</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1022</v>
      </c>
      <c r="AZ31" s="144">
        <f>SUBTOTAL(9,AZ9:AZ30)</f>
        <v>1534</v>
      </c>
      <c r="BA31" s="144">
        <f>SUBTOTAL(9,BA9:BA30)</f>
        <v>1622</v>
      </c>
      <c r="BB31" s="144">
        <f>SUBTOTAL(9,BB9:BB30)</f>
        <v>1060</v>
      </c>
      <c r="BC31" s="145">
        <f>SUBTOTAL(9,BC9:BC30)</f>
        <v>431</v>
      </c>
      <c r="BD31" s="227">
        <f>IF(ISNUMBER(BA31/AZ31),BA31/AZ31," - ")</f>
        <v>1.0573663624511083</v>
      </c>
      <c r="BE31" s="224">
        <f>IF(ISNUMBER(BB31/BA31),BB31/BA31, " - ")</f>
        <v>0.65351418002466088</v>
      </c>
      <c r="BF31" s="224">
        <f>IF(ISNUMBER(BC31/BA31),BC31/BA31, " - ")</f>
        <v>0.26572133168927248</v>
      </c>
      <c r="BG31" s="145">
        <f>IF(ISNUMBER((AY31+AZ31)/BA31),(AY31+AZ31)/BA31," - ")</f>
        <v>1.5758323057953145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vUGXy8OxJFNVQ9FFXLDmH/Zi6x7hSUqAedM4pQRn4YMXgXeywxxxMRE6fr2oTydkFMiTBxjHixxfQdUOkR7g==" saltValue="sk4EUQOW5YI0CTNsWHvM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fQM4ZJD63IuLGuAFBqlPWfEPdUrRRFVKwhYdZkc2cvZbHHZIudQ64nIbgTtTiS5PdAFzTsZMlUEXWfBSRZ6Q==" saltValue="GPD8CIZaSpc9shDFaPqT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UBRIQUE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282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189</v>
      </c>
      <c r="BD12" s="693">
        <f>IF(ISNUMBER(Datos!N12),Datos!N12," - ")</f>
        <v>296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1.0030090270812437</v>
      </c>
      <c r="BH12" s="764">
        <f>IF(ISNUMBER(((IF(J_V="SI",Datos!L12/Datos!K12,(Datos!L12+Datos!AB12)/(Datos!K12+Datos!AA12)))*11)/factor_trimestre),((IF(J_V="SI",Datos!L12/Datos!K12,(Datos!L12+Datos!AB12)/(Datos!K12+Datos!AA12)))*11)/factor_trimestre," - ")</f>
        <v>8.5690000000000008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-0.17552118359112306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282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543</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1226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194</v>
      </c>
      <c r="BD14" s="1198">
        <f t="shared" si="2"/>
        <v>296</v>
      </c>
      <c r="BE14" s="1198">
        <f t="shared" si="2"/>
        <v>0</v>
      </c>
      <c r="BF14" s="1198">
        <f t="shared" si="2"/>
        <v>0</v>
      </c>
      <c r="BG14" s="1198">
        <f>IF(ISNUMBER(Datos!K14/Datos!J14),Datos!K14/Datos!J14," - ")</f>
        <v>0.99684873949579833</v>
      </c>
      <c r="BH14" s="1202">
        <f>IF(ISNUMBER(((Datos!L14/Datos!K14)*11)/factor_trimestre),((Datos!L14/Datos!K14)*11)/factor_trimestre," - ")</f>
        <v>8.9020021074815592</v>
      </c>
      <c r="BI14" s="1198">
        <f>IF(ISNUMBER('Resol  Asuntos'!D14/NºAsuntos!G14),'Resol  Asuntos'!D14/NºAsuntos!G14," - ")</f>
        <v>0.19284294234592445</v>
      </c>
      <c r="BJ14" s="1198" t="str">
        <f>IF(ISNUMBER(Datos!CI14/Datos!CJ14),Datos!CI14/Datos!CJ14," - ")</f>
        <v xml:space="preserve"> - </v>
      </c>
      <c r="BK14" s="1198">
        <f>SUBTOTAL(9,BK8:BK13)</f>
        <v>0</v>
      </c>
      <c r="BL14" s="1198" t="str">
        <f>IF(ISNUMBER((I14-AB14+L14)/(F14)),(I14-AB14+L14)/(F14)," - ")</f>
        <v xml:space="preserve"> - </v>
      </c>
      <c r="BM14" s="1203">
        <f>SUBTOTAL(9,BM9:BM13)</f>
        <v>-0.17552118359112306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330</v>
      </c>
      <c r="G17" s="743">
        <f>IF(ISNUMBER(IF(D_I="SI",Datos!I17,Datos!I17+Datos!AC17)),IF(D_I="SI",Datos!I17,Datos!I17+Datos!AC17)," - ")</f>
        <v>261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1176</v>
      </c>
      <c r="AC17" s="240">
        <f>IF(ISNUMBER(Datos!Q17),Datos!Q17," - ")</f>
        <v>34</v>
      </c>
      <c r="AD17" s="374"/>
      <c r="AE17" s="562"/>
      <c r="AF17" s="741">
        <f>IF(ISNUMBER(IF(D_I="SI",Datos!L17,Datos!L17+Datos!AF17)),IF(D_I="SI",Datos!L17,Datos!L17+Datos!AF17)," - ")</f>
        <v>339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190</v>
      </c>
      <c r="BD17" s="243">
        <f>IF(ISNUMBER(Datos!N17),Datos!N17," - ")</f>
        <v>714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0.9924050632911392</v>
      </c>
      <c r="BH17" s="764">
        <f>IF(ISNUMBER(((IF(D_I="SI",Datos!L17/Datos!K17,(Datos!L17+Datos!AF17)/(Datos!K17+Datos!AE17)))*11)/factor_trimestre),((IF(D_I="SI",Datos!L17/Datos!K17,(Datos!L17+Datos!AF17)/(Datos!K17+Datos!AE17)))*11)/factor_trimestre," - ")</f>
        <v>3.170918367346939</v>
      </c>
      <c r="BI17" s="266">
        <f>IF(ISNUMBER('Resol  Asuntos'!D17/NºAsuntos!G17),'Resol  Asuntos'!D17/NºAsuntos!G17," - ")</f>
        <v>0.16156462585034015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1.1686746987951808</v>
      </c>
      <c r="BH18" s="764">
        <f>IF(ISNUMBER(((IF(D_I="SI",Datos!L18/Datos!K18,(Datos!L18+Datos!AF18)/(Datos!K18+Datos!AE18)))*11)/factor_trimestre),((IF(D_I="SI",Datos!L18/Datos!K18,(Datos!L18+Datos!AF18)/(Datos!K18+Datos!AE18)))*11)/factor_trimestre," - ")</f>
        <v>0.34020618556701032</v>
      </c>
      <c r="BI18" s="763">
        <f>IF(ISNUMBER('Resol  Asuntos'!D18/NºAsuntos!G18),'Resol  Asuntos'!D18/NºAsuntos!G18," - ")</f>
        <v>9.2783505154639179E-2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330</v>
      </c>
      <c r="G23" s="1197">
        <f>SUBTOTAL(9,G16:G22)</f>
        <v>278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1273</v>
      </c>
      <c r="AC23" s="1198">
        <f t="shared" si="5"/>
        <v>34</v>
      </c>
      <c r="AD23" s="1198">
        <f t="shared" si="5"/>
        <v>0</v>
      </c>
      <c r="AE23" s="1198">
        <f t="shared" si="5"/>
        <v>0</v>
      </c>
      <c r="AF23" s="1198">
        <f t="shared" si="5"/>
        <v>342</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199</v>
      </c>
      <c r="BD23" s="1198">
        <f t="shared" si="5"/>
        <v>761</v>
      </c>
      <c r="BE23" s="1198">
        <f t="shared" si="5"/>
        <v>0</v>
      </c>
      <c r="BF23" s="1198">
        <f t="shared" si="5"/>
        <v>0</v>
      </c>
      <c r="BG23" s="1198">
        <f>IF(ISNUMBER(Datos!K23/Datos!J23),Datos!K23/Datos!J23," - ")</f>
        <v>1.0039432176656151</v>
      </c>
      <c r="BH23" s="1202">
        <f>IF(ISNUMBER(((Datos!L23/Datos!K23)*11)/factor_trimestre),((Datos!L23/Datos!K23)*11)/factor_trimestre," - ")</f>
        <v>2.955223880597015</v>
      </c>
      <c r="BI23" s="1198">
        <f>SUBTOTAL(9,BI16:BI22)</f>
        <v>0.25434813100497933</v>
      </c>
      <c r="BJ23" s="1198">
        <f>SUBTOTAL(9,BJ16:BJ22)</f>
        <v>0</v>
      </c>
      <c r="BK23" s="1198">
        <f>SUBTOTAL(9,BK16:BK22)</f>
        <v>0</v>
      </c>
      <c r="BL23" s="1198">
        <f>IF(ISNUMBER((I23-AB23+L23)/(F23)),(I23-AB23+L23)/(F23)," - ")</f>
        <v>-3.8575757575757574</v>
      </c>
      <c r="BM23" s="1205">
        <f>IF(ISNUMBER((Datos!P23-Datos!Q23)/(Datos!R23-Datos!P23+Datos!Q23)),(Datos!P23-Datos!Q23)/(Datos!R23-Datos!P23+Datos!Q23)," - ")</f>
        <v>-0.36842105263157893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330</v>
      </c>
      <c r="G31" s="1117">
        <f t="shared" si="18"/>
        <v>278</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302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1279</v>
      </c>
      <c r="AC31" s="1118">
        <f t="shared" si="19"/>
        <v>577</v>
      </c>
      <c r="AD31" s="1118">
        <f t="shared" si="19"/>
        <v>0</v>
      </c>
      <c r="AE31" s="1118">
        <f t="shared" si="19"/>
        <v>0</v>
      </c>
      <c r="AF31" s="1125">
        <f t="shared" si="19"/>
        <v>342</v>
      </c>
      <c r="AG31" s="1125">
        <f t="shared" si="19"/>
        <v>0</v>
      </c>
      <c r="AH31" s="1125">
        <f t="shared" si="19"/>
        <v>11</v>
      </c>
      <c r="AI31" s="1125">
        <f t="shared" si="19"/>
        <v>0</v>
      </c>
      <c r="AJ31" s="1118">
        <f t="shared" si="19"/>
        <v>0</v>
      </c>
      <c r="AK31" s="1125">
        <f t="shared" si="19"/>
        <v>0</v>
      </c>
      <c r="AL31" s="1125">
        <f t="shared" si="19"/>
        <v>0</v>
      </c>
      <c r="AM31" s="1125">
        <f t="shared" si="19"/>
        <v>1250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393</v>
      </c>
      <c r="BD31" s="1117">
        <f t="shared" si="19"/>
        <v>1057</v>
      </c>
      <c r="BE31" s="1117">
        <f t="shared" si="19"/>
        <v>0</v>
      </c>
      <c r="BF31" s="1127">
        <f t="shared" si="19"/>
        <v>0</v>
      </c>
      <c r="BG31" s="1223">
        <f>IF(ISNUMBER(Datos!K31/Datos!J31),Datos!K31/Datos!J31," - ")</f>
        <v>1.0009009009009009</v>
      </c>
      <c r="BH31" s="1223">
        <f>IF(ISNUMBER(((Datos!L31/Datos!K31)*11)/factor_trimestre),((Datos!L31/Datos!K31)*11)/factor_trimestre," - ")</f>
        <v>5.4950495049504946</v>
      </c>
      <c r="BI31" s="1103">
        <f>IF(ISNUMBER(Datos!J31/Datos!I31),Datos!J31/Datos!I31," - ")</f>
        <v>2.1284755512943434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-3.875757575757576</v>
      </c>
      <c r="BM31" s="1188">
        <f>IF(ISNUMBER((Datos!P31-Datos!Q31+R31)/(Datos!R31-Datos!P31+Datos!Q31-R31)),(Datos!P31-Datos!Q31+R31)/(Datos!R31-Datos!P31+Datos!Q31-R31)," - ")</f>
        <v>-0.18032786885245902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170.41126723312635</v>
      </c>
      <c r="G33" s="674">
        <f>IF(ISNUMBER(STDEV(G8:G30)),STDEV(G8:G30),"-")</f>
        <v>130.08440483375546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588.5320317374003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101.37589175228709</v>
      </c>
      <c r="BD33" s="673"/>
      <c r="BE33" s="673">
        <f>IF(ISNUMBER(STDEV(BE8:BE30)),STDEV(BE8:BE30),"-")</f>
        <v>0</v>
      </c>
      <c r="BF33" s="678">
        <f>IF(ISNUMBER(STDEV(BF8:BF30)),STDEV(BF8:BF30),"-")</f>
        <v>0</v>
      </c>
      <c r="BG33" s="1052">
        <f>IF(ISNUMBER(STDEV(BG8:BG30)),STDEV(BG8:BG30),"-")</f>
        <v>6.9299967260053705E-2</v>
      </c>
      <c r="BH33" s="1058">
        <f>IF(ISNUMBER(STDEV(BH8:BH30)),STDEV(BH8:BH30),"-")</f>
        <v>3.9007116212320563</v>
      </c>
      <c r="BI33" s="273">
        <f>IF(ISNUMBER(STDEV(BI8:BI30)),STDEV(BI8:BI30),"-")</f>
        <v>6.7215983965198872E-2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6fBOFMrHyGrLWgPkmXTqfSaGCOqyC+uSDWSEuP0MB4LaT1se+ARffXIHyrLdE9+hl6/mkAHyNrVdGRO2+d53A==" saltValue="TwNPJNl967mEtra2ZvuK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UBRIQUE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543</v>
      </c>
      <c r="AA12" s="551" t="str">
        <f>IF(ISNUMBER(IF(J_V="SI",Datos!L12,Datos!L12+Datos!AB12)-IF(Monitorios="SI",Datos!CD12,0)),
                          IF(J_V="SI",Datos!L12,Datos!L12+Datos!AB12)-IF(Monitorios="SI",Datos!CD12,0),
                          " - ")</f>
        <v xml:space="preserve"> - </v>
      </c>
      <c r="AB12" s="549"/>
      <c r="AC12" s="549"/>
      <c r="AD12" s="563"/>
      <c r="AE12" s="563">
        <f>IF(ISNUMBER(Datos!R12),Datos!R12," - ")</f>
        <v>1226</v>
      </c>
      <c r="AF12" s="693" t="str">
        <f>IF(ISNUMBER(Datos!BV12),Datos!BV12," - ")</f>
        <v xml:space="preserve"> - </v>
      </c>
      <c r="AG12" s="552" t="str">
        <f>IF(ISNUMBER(Datos!DV12),Datos!DV12," - ")</f>
        <v xml:space="preserve"> - </v>
      </c>
      <c r="AH12" s="553"/>
      <c r="AI12" s="554"/>
      <c r="AJ12" s="552">
        <f>IF(ISNUMBER(Datos!M12),Datos!M12," - ")</f>
        <v>189</v>
      </c>
      <c r="AK12" s="693">
        <f>IF(ISNUMBER(Datos!N12),Datos!N12," - ")</f>
        <v>296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8.5690000000000008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-0.17552118359112306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543</v>
      </c>
      <c r="AA14" s="1199">
        <f t="shared" si="3"/>
        <v>0</v>
      </c>
      <c r="AB14" s="1199">
        <f t="shared" si="3"/>
        <v>0</v>
      </c>
      <c r="AC14" s="1199">
        <f t="shared" si="3"/>
        <v>0</v>
      </c>
      <c r="AD14" s="1199">
        <f t="shared" si="3"/>
        <v>0</v>
      </c>
      <c r="AE14" s="1199">
        <f t="shared" si="3"/>
        <v>1226</v>
      </c>
      <c r="AF14" s="1211">
        <f t="shared" si="3"/>
        <v>0</v>
      </c>
      <c r="AG14" s="1211">
        <f t="shared" si="3"/>
        <v>0</v>
      </c>
      <c r="AH14" s="1211">
        <f t="shared" si="3"/>
        <v>0</v>
      </c>
      <c r="AI14" s="1211">
        <f t="shared" si="3"/>
        <v>0</v>
      </c>
      <c r="AJ14" s="1211">
        <f t="shared" si="3"/>
        <v>194</v>
      </c>
      <c r="AK14" s="1211">
        <f t="shared" si="3"/>
        <v>296</v>
      </c>
      <c r="AL14" s="1211">
        <f t="shared" si="3"/>
        <v>0</v>
      </c>
      <c r="AM14" s="1211">
        <f t="shared" si="3"/>
        <v>0</v>
      </c>
      <c r="AN14" s="1211">
        <f t="shared" si="3"/>
        <v>0</v>
      </c>
      <c r="AO14" s="1203">
        <f>IF(ISNUMBER(((NºAsuntos!I14/NºAsuntos!G14)*11)/factor_trimestre),((NºAsuntos!I14/NºAsuntos!G14)*11)/factor_trimestre," - ")</f>
        <v>8.5178926441351877</v>
      </c>
      <c r="AP14" s="1213" t="str">
        <f>IF(ISNUMBER(Datos!CI14/Datos!CJ14),Datos!CI14/Datos!CJ14," - ")</f>
        <v xml:space="preserve"> - </v>
      </c>
      <c r="AQ14" s="1236">
        <f t="shared" ref="AQ14:AV14" si="4">SUBTOTAL(9,AQ9:AQ13)</f>
        <v>0</v>
      </c>
      <c r="AR14" s="1236">
        <f t="shared" si="4"/>
        <v>-0.17552118359112306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330</v>
      </c>
      <c r="G17" s="552">
        <f>IF(ISNUMBER(IF(D_I="SI",Datos!I17,Datos!I17+Datos!AC17)),IF(D_I="SI",Datos!I17,Datos!I17+Datos!AC17)," - ")</f>
        <v>261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1176</v>
      </c>
      <c r="Z17" s="805">
        <f>IF(ISNUMBER(Datos!Q17),Datos!Q17," - ")</f>
        <v>34</v>
      </c>
      <c r="AA17" s="551">
        <f>IF(ISNUMBER(IF(D_I="SI",Datos!L17,Datos!L17+Datos!AF17)),IF(D_I="SI",Datos!L17,Datos!L17+Datos!AF17)," - ")</f>
        <v>339</v>
      </c>
      <c r="AB17" s="549"/>
      <c r="AC17" s="549"/>
      <c r="AD17" s="563"/>
      <c r="AE17" s="563">
        <f>IF(ISNUMBER(Datos!R17),Datos!R17," - ")</f>
        <v>24</v>
      </c>
      <c r="AF17" s="693" t="str">
        <f>IF(ISNUMBER(Datos!BV17),Datos!BV17," - ")</f>
        <v xml:space="preserve"> - </v>
      </c>
      <c r="AG17" s="552"/>
      <c r="AH17" s="553"/>
      <c r="AI17" s="554"/>
      <c r="AJ17" s="552">
        <f>IF(ISNUMBER(Datos!M17),Datos!M17," - ")</f>
        <v>190</v>
      </c>
      <c r="AK17" s="693">
        <f>IF(ISNUMBER(Datos!N17),Datos!N17," - ")</f>
        <v>714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3.170918367346939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0.34020618556701032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330</v>
      </c>
      <c r="G23" s="1197">
        <f>SUBTOTAL(9,G16:G22)</f>
        <v>278</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1273</v>
      </c>
      <c r="Z23" s="1240">
        <f t="shared" si="6"/>
        <v>34</v>
      </c>
      <c r="AA23" s="1240">
        <f t="shared" si="6"/>
        <v>342</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199</v>
      </c>
      <c r="AK23" s="1240">
        <f t="shared" si="6"/>
        <v>761</v>
      </c>
      <c r="AL23" s="1240">
        <f t="shared" si="6"/>
        <v>0</v>
      </c>
      <c r="AM23" s="1240">
        <f t="shared" si="6"/>
        <v>0</v>
      </c>
      <c r="AN23" s="1240">
        <f t="shared" si="6"/>
        <v>0</v>
      </c>
      <c r="AO23" s="1242">
        <f>IF(ISNUMBER(((NºAsuntos!I23/NºAsuntos!G23)*11)/factor_trimestre),((NºAsuntos!I23/NºAsuntos!G23)*11)/factor_trimestre," - ")</f>
        <v>2.955223880597015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330</v>
      </c>
      <c r="G31" s="1117">
        <f t="shared" si="12"/>
        <v>278</v>
      </c>
      <c r="H31" s="1118">
        <f t="shared" si="12"/>
        <v>0</v>
      </c>
      <c r="I31" s="1117">
        <f t="shared" si="12"/>
        <v>0</v>
      </c>
      <c r="J31" s="1119">
        <f t="shared" si="12"/>
        <v>0</v>
      </c>
      <c r="K31" s="1117">
        <f t="shared" si="12"/>
        <v>0</v>
      </c>
      <c r="L31" s="1120">
        <f t="shared" si="12"/>
        <v>0</v>
      </c>
      <c r="M31" s="1117">
        <f t="shared" si="12"/>
        <v>0</v>
      </c>
      <c r="N31" s="1118">
        <f t="shared" si="12"/>
        <v>302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1279</v>
      </c>
      <c r="Z31" s="1124">
        <f t="shared" si="13"/>
        <v>577</v>
      </c>
      <c r="AA31" s="1125">
        <f t="shared" si="13"/>
        <v>342</v>
      </c>
      <c r="AB31" s="1125">
        <f t="shared" si="13"/>
        <v>0</v>
      </c>
      <c r="AC31" s="1125">
        <f t="shared" si="13"/>
        <v>0</v>
      </c>
      <c r="AD31" s="1126">
        <f t="shared" si="13"/>
        <v>0</v>
      </c>
      <c r="AE31" s="1126">
        <f t="shared" si="13"/>
        <v>1250</v>
      </c>
      <c r="AF31" s="1127">
        <f t="shared" si="13"/>
        <v>0</v>
      </c>
      <c r="AG31" s="1128">
        <f t="shared" si="13"/>
        <v>0</v>
      </c>
      <c r="AH31" s="1129">
        <f t="shared" si="13"/>
        <v>0</v>
      </c>
      <c r="AI31" s="1127">
        <f t="shared" si="13"/>
        <v>0</v>
      </c>
      <c r="AJ31" s="1117">
        <f t="shared" si="13"/>
        <v>393</v>
      </c>
      <c r="AK31" s="1117">
        <f t="shared" si="13"/>
        <v>1057</v>
      </c>
      <c r="AL31" s="1117">
        <f t="shared" si="13"/>
        <v>0</v>
      </c>
      <c r="AM31" s="1130">
        <f t="shared" si="13"/>
        <v>0</v>
      </c>
      <c r="AN31" s="1120">
        <f>IF(ISNUMBER(Datos!K31/Datos!J31),Datos!K31/Datos!J31," - ")</f>
        <v>1.0009009009009009</v>
      </c>
      <c r="AO31" s="1120">
        <f>IF(ISNUMBER(FIND("06",Criterios!A8,1)),(IF(ISNUMBER(((Datos!R31/Datos!Q31)*11)/factor_trimestre),((Datos!R31/Datos!Q31)*11)/factor_trimestre," - ")),(IF(ISNUMBER(((Datos!L31/Datos!K31)*11)/factor_trimestre),((Datos!L31/Datos!K31)*11)/factor_trimestre," - ")))</f>
        <v>5.4950495049504946</v>
      </c>
      <c r="AP31" s="1131" t="str">
        <f>IF(ISNUMBER(Datos!CI31/Datos!CJ31),Datos!CI31/Datos!CJ31," - ")</f>
        <v xml:space="preserve"> - </v>
      </c>
      <c r="AQ31" s="1131">
        <f>IF(OR(ISNUMBER(FIND("01",Criterios!A8,1)),ISNUMBER(FIND("02",Criterios!A8,1)),ISNUMBER(FIND("03",Criterios!A8,1)),ISNUMBER(FIND("04",Criterios!A8,1))),(J31-Y31+K31)/(F31-K31),(I31-Y31+K31)/(F31-K31))</f>
        <v>-3.875757575757576</v>
      </c>
      <c r="AR31" s="1131">
        <f>IF(ISNUMBER((Datos!P31-Datos!Q31+O31)/(Datos!R31-Datos!P31+Datos!Q31-O31)),(Datos!P31-Datos!Q31+O31)/(Datos!R31-Datos!P31+Datos!Q31-O31)," - ")</f>
        <v>-0.18032786885245902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170.41126723312635</v>
      </c>
      <c r="G33" s="674">
        <f>IF(ISNUMBER(STDEV(G8:G30)),STDEV(G8:G30),"-")</f>
        <v>130.08440483375546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101.37589175228709</v>
      </c>
      <c r="AK33" s="276"/>
      <c r="AL33" s="276">
        <f>IF(ISNUMBER(STDEV(AL8:AL30)),STDEV(AL8:AL30),"-")</f>
        <v>0</v>
      </c>
      <c r="AM33" s="278">
        <f>IF(ISNUMBER(STDEV(AM8:AM30)),STDEV(AM8:AM30),"-")</f>
        <v>0</v>
      </c>
      <c r="AN33" s="660">
        <f>IF(ISNUMBER(STDEV(AN8:AN30)),STDEV(AN8:AN30),"-")</f>
        <v>0</v>
      </c>
      <c r="AO33" s="661">
        <f>IF(ISNUMBER(STDEV(AO8:AO30)),STDEV(AO8:AO30),"-")</f>
        <v>3.8059656754167688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cNelrzErpGMGUIeSrHHR+wK6ctGky1S5nVCOhpAm8EVb3KuSGKH1dxYY329Ul929aR4ZtKKOzkGSC6Hka+1YA==" saltValue="BF2IlNqBY5d6QiPQXkBg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3Uc91Yp0woFvZMN7F89n+zE4oXiZnu8CoZxMlyIQ/ax5GPSJRekHFD3svLXHarEkMuu6HJbpzKOw5nWL5KgNw==" saltValue="WIThUL0LtJm+TuJ6dUPi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D5tS33kf25Wm4Em+xEjnw5jTTgkJZiQBz6u6LiFmzOqxXQlnyJQEGg/eRmHY44XpG1kwW/EUd5hhBVo/bh5A==" saltValue="PESbznaoO3KSQcelv0bY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UBRIQUE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0.19284294234592445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0.1363605522367696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s5mKWBgr+vMNyo87qUKiUloChgDlCa6QMjYxldAFNtc0GUlo7+NPKWx4YZdup7AcU43IR+ZGT4QCLSemsy8Mg==" saltValue="3cjoKo7I3q9qmQ/XnIHM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NKGhCD/T06DTfsnlmWtHozFYKQpHGglL96/zcuE7lw57/T+ih/vl8PNrTefui4n5FZszSqfF579k9r0b6HDiQ==" saltValue="tLLt97pjZK7w6w7yR3Yy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UBRIQUE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6</v>
      </c>
      <c r="F10" s="452">
        <f>IF(ISNUMBER(E10/B10),E10/B10," - ")</f>
        <v>6</v>
      </c>
      <c r="G10" s="451">
        <f>IF(ISNUMBER(Datos!K10),Datos!K10," - ")</f>
        <v>6</v>
      </c>
      <c r="H10" s="452">
        <f>IF(ISNUMBER(G10/B10),G10/B10," - ")</f>
        <v>6</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782</v>
      </c>
      <c r="D12" s="452">
        <f>IF(ISNUMBER(C12/Datos!BH12),C12/Datos!BH12," - ")</f>
        <v>782</v>
      </c>
      <c r="E12" s="451">
        <f>IF(ISNUMBER(IF(J_V="SI",Datos!J12,Datos!J12+Datos!Z12)),IF(J_V="SI",Datos!J12,Datos!J12+Datos!Z12)," - ")</f>
        <v>997</v>
      </c>
      <c r="F12" s="452">
        <f>IF(ISNUMBER(E12/B12),E12/B12," - ")</f>
        <v>997</v>
      </c>
      <c r="G12" s="451">
        <f>IF(ISNUMBER(IF(J_V="SI",Datos!K12,Datos!K12+Datos!AA12)),IF(J_V="SI",Datos!K12,Datos!K12+Datos!AA12)," - ")</f>
        <v>1000</v>
      </c>
      <c r="H12" s="452">
        <f>IF(ISNUMBER(G12/B12),G12/B12," - ")</f>
        <v>1000</v>
      </c>
      <c r="I12" s="451">
        <f>IF(ISNUMBER(IF(J_V="SI",Datos!L12,Datos!L12+Datos!AB12)),IF(J_V="SI",Datos!L12,Datos!L12+Datos!AB12)," - ")</f>
        <v>779</v>
      </c>
      <c r="J12" s="452">
        <f>IF(ISNUMBER(I12/B12),I12/B12," - ")</f>
        <v>779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782</v>
      </c>
      <c r="D14" s="1147" t="str">
        <f>IF(ISNUMBER(C14/Datos!BI14),C14/Datos!BI14," - ")</f>
        <v xml:space="preserve"> - </v>
      </c>
      <c r="E14" s="1146">
        <f>SUBTOTAL(9,E8:E13)</f>
        <v>1003</v>
      </c>
      <c r="F14" s="1147">
        <f>IF(ISNUMBER(E14/B14),E14/B14," - ")</f>
        <v>1003</v>
      </c>
      <c r="G14" s="1146">
        <f>SUBTOTAL(9,G8:G13)</f>
        <v>1006</v>
      </c>
      <c r="H14" s="1147">
        <f>IF(ISNUMBER(G14/B14),G14/B14," - ")</f>
        <v>1006</v>
      </c>
      <c r="I14" s="1146">
        <f>SUBTOTAL(9,I8:I13)</f>
        <v>779</v>
      </c>
      <c r="J14" s="1147">
        <f>IF(ISNUMBER(I14/B14),I14/B14," - ")</f>
        <v>779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261</v>
      </c>
      <c r="D17" s="452">
        <f>IF(ISNUMBER(C17/Datos!BH17),C17/Datos!BH17," - ")</f>
        <v>261</v>
      </c>
      <c r="E17" s="451">
        <f>IF(ISNUMBER(IF(D_I="SI",Datos!J17,Datos!J17+Datos!AD17)),IF(D_I="SI",Datos!J17,Datos!J17+Datos!AD17)," - ")</f>
        <v>1185</v>
      </c>
      <c r="F17" s="452">
        <f>IF(ISNUMBER(E17/B17),E17/B17," - ")</f>
        <v>1185</v>
      </c>
      <c r="G17" s="451">
        <f>IF(ISNUMBER(IF(D_I="SI",Datos!K17,Datos!K17+Datos!AE17)),IF(D_I="SI",Datos!K17,Datos!K17+Datos!AE17)," - ")</f>
        <v>1176</v>
      </c>
      <c r="H17" s="452">
        <f>IF(ISNUMBER(G17/B17),G17/B17," - ")</f>
        <v>1176</v>
      </c>
      <c r="I17" s="451">
        <f>IF(ISNUMBER(IF(D_I="SI",Datos!L17,Datos!L17+Datos!AF17)),IF(D_I="SI",Datos!L17,Datos!L17+Datos!AF17)," - ")</f>
        <v>339</v>
      </c>
      <c r="J17" s="452">
        <f>IF(ISNUMBER(I17/B17),I17/B17," - ")</f>
        <v>339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83</v>
      </c>
      <c r="F18" s="452">
        <f>IF(ISNUMBER(E18/B18),E18/B18," - ")</f>
        <v>83</v>
      </c>
      <c r="G18" s="451">
        <f>IF(ISNUMBER(IF(D_I="SI",Datos!K18,Datos!K18+Datos!AE18)),IF(D_I="SI",Datos!K18,Datos!K18+Datos!AE18)," - ")</f>
        <v>97</v>
      </c>
      <c r="H18" s="452">
        <f>IF(ISNUMBER(G18/B18),G18/B18," - ")</f>
        <v>97</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278</v>
      </c>
      <c r="D23" s="1147" t="str">
        <f>IF(ISNUMBER(C23/Datos!BI23),C23/Datos!BI23," - ")</f>
        <v xml:space="preserve"> - </v>
      </c>
      <c r="E23" s="1146">
        <f>SUBTOTAL(9,E15:E22)</f>
        <v>1268</v>
      </c>
      <c r="F23" s="1147">
        <f>IF(ISNUMBER(E23/B23),E23/B23," - ")</f>
        <v>1268</v>
      </c>
      <c r="G23" s="1146">
        <f>SUBTOTAL(9,G15:G22)</f>
        <v>1273</v>
      </c>
      <c r="H23" s="1147">
        <f>IF(ISNUMBER(G23/B23),G23/B23," - ")</f>
        <v>1273</v>
      </c>
      <c r="I23" s="1146">
        <f>SUBTOTAL(9,I15:I22)</f>
        <v>342</v>
      </c>
      <c r="J23" s="1147">
        <f>IF(ISNUMBER(I23/B23),I23/B23," - ")</f>
        <v>342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1060</v>
      </c>
      <c r="D31" s="1085" t="str">
        <f>IF(ISNUMBER(C31/Datos!BI31),C31/Datos!BI31," - ")</f>
        <v xml:space="preserve"> - </v>
      </c>
      <c r="E31" s="1084">
        <f>SUBTOTAL(9,E9:E30)</f>
        <v>2271</v>
      </c>
      <c r="F31" s="1085">
        <f>IF(ISNUMBER(E31/B31),E31/B31," - ")</f>
        <v>2271</v>
      </c>
      <c r="G31" s="1084">
        <f>SUBTOTAL(9,G9:G30)</f>
        <v>2279</v>
      </c>
      <c r="H31" s="1085">
        <f>IF(ISNUMBER(G31/B31),G31/B31," - ")</f>
        <v>2279</v>
      </c>
      <c r="I31" s="1084">
        <f>SUBTOTAL(9,I9:I30)</f>
        <v>1121</v>
      </c>
      <c r="J31" s="1085">
        <f>IF(ISNUMBER(I31/B31),I31/B31," - ")</f>
        <v>1121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D6nMNbaTwCfplkllKqmdELDm6ze8pvvElid/2EZxs5s0+MP8oRhO2m3J6rgHv6486zuvbyvpGz9sATfxId7pw==" saltValue="+8Aj0YnysDIlJ6XFa/qh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UBRIQUE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189</v>
      </c>
      <c r="AM12" s="914">
        <f>IF(ISNUMBER(Datos!N12+DatosP!N17),Datos!N12+DatosP!N17," - ")</f>
        <v>296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8.5690000000000008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-0.17552118359112306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543</v>
      </c>
      <c r="AE14" s="1257">
        <f t="shared" si="1"/>
        <v>0</v>
      </c>
      <c r="AF14" s="1257">
        <f t="shared" si="1"/>
        <v>0</v>
      </c>
      <c r="AG14" s="1257">
        <f t="shared" si="1"/>
        <v>0</v>
      </c>
      <c r="AH14" s="1257">
        <f t="shared" si="1"/>
        <v>1226</v>
      </c>
      <c r="AI14" s="1257">
        <f t="shared" si="1"/>
        <v>0</v>
      </c>
      <c r="AJ14" s="1257">
        <f t="shared" si="1"/>
        <v>0</v>
      </c>
      <c r="AK14" s="1257">
        <f t="shared" si="1"/>
        <v>0</v>
      </c>
      <c r="AL14" s="1257">
        <f t="shared" si="1"/>
        <v>194</v>
      </c>
      <c r="AM14" s="1257">
        <f t="shared" si="1"/>
        <v>296</v>
      </c>
      <c r="AN14" s="1257">
        <f t="shared" si="1"/>
        <v>0</v>
      </c>
      <c r="AO14" s="1257">
        <f t="shared" si="1"/>
        <v>0</v>
      </c>
      <c r="AP14" s="1262">
        <f>IF(ISNUMBER(((Datos!L14/Datos!K14)*11)/factor_trimestre),((Datos!L14/Datos!K14)*11)/factor_trimestre," - ")</f>
        <v>8.9020021074815592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-0.17552118359112306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2.955223880597015</v>
      </c>
      <c r="AQ23" s="1262">
        <f>IF(ISNUMBER(((Datos!M23/Datos!L23)*11)/factor_trimestre),((Datos!M23/Datos!L23)*11)/factor_trimestre," - ")</f>
        <v>6.4005847953216373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-0.36842105263157893</v>
      </c>
      <c r="AW23" s="1265">
        <f>IF(ISNUMBER((Datos!Q23-Datos!R23)/(Datos!S23-Datos!Q23+Datos!R23)),(Datos!Q23-Datos!R23)/(Datos!S23-Datos!Q23+Datos!R23)," - ")</f>
        <v>4.5454545454545456E-2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543</v>
      </c>
      <c r="AE31" s="1284">
        <f t="shared" si="9"/>
        <v>0</v>
      </c>
      <c r="AF31" s="1285">
        <f t="shared" si="9"/>
        <v>0</v>
      </c>
      <c r="AG31" s="1285">
        <f t="shared" si="9"/>
        <v>0</v>
      </c>
      <c r="AH31" s="1285">
        <f t="shared" si="9"/>
        <v>1226</v>
      </c>
      <c r="AI31" s="1285">
        <f t="shared" si="9"/>
        <v>0</v>
      </c>
      <c r="AJ31" s="1286">
        <f t="shared" si="9"/>
        <v>0</v>
      </c>
      <c r="AK31" s="1286">
        <f t="shared" si="9"/>
        <v>0</v>
      </c>
      <c r="AL31" s="1278">
        <f t="shared" si="9"/>
        <v>194</v>
      </c>
      <c r="AM31" s="1278">
        <f t="shared" si="9"/>
        <v>296</v>
      </c>
      <c r="AN31" s="1278">
        <f t="shared" si="9"/>
        <v>0</v>
      </c>
      <c r="AO31" s="1278">
        <f t="shared" si="9"/>
        <v>0</v>
      </c>
      <c r="AP31" s="1278">
        <f>IF(ISNUMBER(((Datos!L31/Datos!K31)*11)/factor_trimestre),((Datos!L31/Datos!K31)*11)/factor_trimestre," - ")</f>
        <v>5.4950495049504946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-0.18032786885245902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98.276480740137757</v>
      </c>
      <c r="AM33" s="1006"/>
      <c r="AN33" s="1006">
        <f>IF(ISNUMBER(STDEV(AN8:AN30)),STDEV(AN8:AN30),"-")</f>
        <v>0</v>
      </c>
      <c r="AO33" s="1012">
        <f>IF(ISNUMBER(STDEV(AO8:AO30)),STDEV(AO8:AO30),"-")</f>
        <v>0</v>
      </c>
      <c r="AP33" s="1065">
        <f>IF(ISNUMBER(STDEV(AP8:AP30)),STDEV(AP8:AP30),"-")</f>
        <v>4.3626854756003546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ImOlF0GbzK4NMOsuZclf4NIYSDfNiBkjf9KMeSCKrBU6wHgpme5UMQNSxm3wHxHIq8mztYYi0mxANp3xT4lMQ==" saltValue="8caqAoiWKZIoSz/NBT8j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UBRIQUE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rXGiet9G+un/BJ1+EU0CAlYP6JFVn8w/TeBPcsSfFyUhfgtjbqLgNzXZ+xNPmJmb1NF6WlMnZtd8qiu5hUBdA==" saltValue="2qtsh/vN8z7ifftp8NW5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UBRIQUE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189</v>
      </c>
      <c r="E12" s="452">
        <f t="shared" si="0"/>
        <v>189</v>
      </c>
      <c r="F12" s="451">
        <f>IF(ISNUMBER(Datos!N12),Datos!N12," - ")</f>
        <v>296</v>
      </c>
      <c r="G12" s="452">
        <f t="shared" si="1"/>
        <v>296</v>
      </c>
      <c r="H12" s="451">
        <f>IF(ISNUMBER(Datos!O12),Datos!O12," - ")</f>
        <v>436</v>
      </c>
      <c r="I12" s="452">
        <f t="shared" si="2"/>
        <v>436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194</v>
      </c>
      <c r="E14" s="1147">
        <f t="shared" si="0"/>
        <v>97</v>
      </c>
      <c r="F14" s="1146">
        <f>SUBTOTAL(9,F9:F13)</f>
        <v>296</v>
      </c>
      <c r="G14" s="1147">
        <f t="shared" si="1"/>
        <v>148</v>
      </c>
      <c r="H14" s="1146">
        <f>SUBTOTAL(9,H9:H13)</f>
        <v>436</v>
      </c>
      <c r="I14" s="1147">
        <f>IF(ISNUMBER(H14/B14),H14/B14," - ")</f>
        <v>218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190</v>
      </c>
      <c r="E17" s="452">
        <f t="shared" si="3"/>
        <v>190</v>
      </c>
      <c r="F17" s="451">
        <f>IF(ISNUMBER(Datos!N17),Datos!N17," - ")</f>
        <v>714</v>
      </c>
      <c r="G17" s="452">
        <f t="shared" si="4"/>
        <v>714</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199</v>
      </c>
      <c r="E23" s="1147">
        <f t="shared" si="3"/>
        <v>99.5</v>
      </c>
      <c r="F23" s="1146">
        <f>SUBTOTAL(9,F16:F22)</f>
        <v>761</v>
      </c>
      <c r="G23" s="1147">
        <f t="shared" si="4"/>
        <v>380.5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393</v>
      </c>
      <c r="E31" s="1085">
        <f>IF(ISNUMBER(D31/B31),D31/B31," - ")</f>
        <v>393</v>
      </c>
      <c r="F31" s="1084">
        <f>SUBTOTAL(9,F8:F30)</f>
        <v>1057</v>
      </c>
      <c r="G31" s="1085">
        <f>IF(ISNUMBER(F31/B31),F31/B31," - ")</f>
        <v>1057</v>
      </c>
      <c r="H31" s="1084">
        <f>SUBTOTAL(9,H8:H30)</f>
        <v>436</v>
      </c>
      <c r="I31" s="1085">
        <f>IF(ISNUMBER(H31/B31),H31/B31," - ")</f>
        <v>436</v>
      </c>
    </row>
    <row r="34" spans="1:1">
      <c r="A34" s="439" t="str">
        <f>Criterios!A4</f>
        <v>Fecha Informe: 06 may. 2023</v>
      </c>
    </row>
    <row r="39" spans="1:1">
      <c r="A39" s="462"/>
    </row>
  </sheetData>
  <sheetProtection algorithmName="SHA-512" hashValue="qqs5Bm0NUKtzAx1rvm2IdF0nGCiJGCYJhk+O0pcEUfsLNWjcgquI3Z1E15pA4A07C7HRDz0y21GrKOxMWVyQ6w==" saltValue="33C2p+JzpxxmdPDnrZPg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UBRIQUE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282</v>
      </c>
      <c r="C12" s="489">
        <f>IF(ISNUMBER(Datos!Q12),Datos!Q12," - ")</f>
        <v>543</v>
      </c>
      <c r="D12" s="456">
        <f>IF(ISNUMBER(Datos!R12),Datos!R12," - ")</f>
        <v>1226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282</v>
      </c>
      <c r="C14" s="1150">
        <f>SUBTOTAL(9,C9:C13)</f>
        <v>543</v>
      </c>
      <c r="D14" s="1148">
        <f>SUBTOTAL(9,D9:D13)</f>
        <v>1226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34</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34</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302</v>
      </c>
      <c r="C31" s="1089">
        <f>SUBTOTAL(9,C8:C30)</f>
        <v>577</v>
      </c>
      <c r="D31" s="1090">
        <f>SUBTOTAL(9,D8:D30)</f>
        <v>1250</v>
      </c>
    </row>
    <row r="32" spans="1:4" ht="7.5" customHeight="1"/>
    <row r="33" spans="1:1" ht="6" customHeight="1"/>
    <row r="34" spans="1:1">
      <c r="A34" s="439" t="str">
        <f>Criterios!A4</f>
        <v>Fecha Informe: 06 may. 2023</v>
      </c>
    </row>
    <row r="39" spans="1:1">
      <c r="A39" s="462"/>
    </row>
  </sheetData>
  <sheetProtection algorithmName="SHA-512" hashValue="6GvipdPVb+IimlowLsh6LjdCoL+XLear8ih1PKjSMl3SRzkBvrd5xXO6Kt88MhOO8IypoaRCoHkgUs1Srh87aA==" saltValue="16owTeSecF5tXCC3Lk8c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UBRIQUE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-0.14285714285714285</v>
      </c>
      <c r="D10" s="515">
        <f>IF(ISNUMBER((Datos!K10-Datos!U10)/Datos!U10),(Datos!K10-Datos!U10)/Datos!U10," - ")</f>
        <v>-0.14285714285714285</v>
      </c>
      <c r="E10" s="515" t="str">
        <f>IF(ISNUMBER((Datos!L10-Datos!V10)/Datos!V10),(Datos!L10-Datos!V10)/Datos!V10," - ")</f>
        <v xml:space="preserve"> - </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f>IF(ISNUMBER((('Resol  Asuntos'!D10/NºAsuntos!G10)-Datos!BF10)/Datos!BF10),(('Resol  Asuntos'!D10/NºAsuntos!G10)-Datos!BF10)/Datos!BF10," - ")</f>
        <v>4.8333333333333339</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-1.2626262626262626E-2</v>
      </c>
      <c r="C12" s="515">
        <f>IF(ISNUMBER(
   IF(J_V="SI",(Datos!J12-Datos!T12)/Datos!T12,(Datos!J12+Datos!Z12-(Datos!T12+Datos!AH12))/(Datos!T12+Datos!AH12))
     ),IF(J_V="SI",(Datos!J12-Datos!T12)/Datos!T12,(Datos!J12+Datos!Z12-(Datos!T12+Datos!AH12))/(Datos!T12+Datos!AH12))," - ")</f>
        <v>2.9958677685950414E-2</v>
      </c>
      <c r="D12" s="515">
        <f>IF(ISNUMBER(
   IF(J_V="SI",(Datos!K12-Datos!U12)/Datos!U12,(Datos!K12+Datos!AA12-(Datos!U12+Datos!AI12))/(Datos!U12+Datos!AI12))
     ),IF(J_V="SI",(Datos!K12-Datos!U12)/Datos!U12,(Datos!K12+Datos!AA12-(Datos!U12+Datos!AI12))/(Datos!U12+Datos!AI12))," - ")</f>
        <v>-0.10873440285204991</v>
      </c>
      <c r="E12" s="515">
        <f>IF(ISNUMBER(
   IF(J_V="SI",(Datos!L12-Datos!V12)/Datos!V12,(Datos!L12+Datos!AB12-(Datos!V12+Datos!AJ12))/(Datos!V12+Datos!AJ12))
     ),IF(J_V="SI",(Datos!L12-Datos!V12)/Datos!V12,(Datos!L12+Datos!AB12-(Datos!V12+Datos!AJ12))/(Datos!V12+Datos!AJ12))," - ")</f>
        <v>-3.8363171355498722E-3</v>
      </c>
      <c r="F12" s="515">
        <f>IF(ISNUMBER((Datos!M12-Datos!W12)/Datos!W12),(Datos!M12-Datos!W12)/Datos!W12," - ")</f>
        <v>0.64347826086956517</v>
      </c>
      <c r="G12" s="516">
        <f>IF(ISNUMBER((Datos!N12-Datos!X12)/Datos!X12),(Datos!N12-Datos!X12)/Datos!X12," - ")</f>
        <v>6.4748201438848921E-2</v>
      </c>
      <c r="H12" s="514">
        <f>IF(ISNUMBER(((NºAsuntos!G12/NºAsuntos!E12)-Datos!BD12)/Datos!BD12),((NºAsuntos!G12/NºAsuntos!E12)-Datos!BD12)/Datos!BD12," - ")</f>
        <v>-0.13465887859657411</v>
      </c>
      <c r="I12" s="515">
        <f>IF(ISNUMBER(((NºAsuntos!I12/NºAsuntos!G12)-Datos!BE12)/Datos!BE12),((NºAsuntos!I12/NºAsuntos!G12)-Datos!BE12)/Datos!BE12," - ")</f>
        <v>0.11769565217391301</v>
      </c>
      <c r="J12" s="521">
        <f>IF(ISNUMBER((('Resol  Asuntos'!D12/NºAsuntos!G12)-Datos!BF12)/Datos!BF12),(('Resol  Asuntos'!D12/NºAsuntos!G12)-Datos!BF12)/Datos!BF12," - ")</f>
        <v>-0.23720143884892086</v>
      </c>
      <c r="K12" s="522">
        <f>IF(ISNUMBER((((NºAsuntos!C12+NºAsuntos!E12)/NºAsuntos!G12)-Datos!BG12)/Datos!BG12),(((NºAsuntos!C12+NºAsuntos!E12)/NºAsuntos!G12)-Datos!BG12)/Datos!BG12," - ")</f>
        <v>0.13411249999999997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-1.2626262626262626E-2</v>
      </c>
      <c r="C14" s="1152">
        <f>IF(ISNUMBER(
   IF(J_V="SI",(Datos!J14-Datos!T14)/Datos!T14,(Datos!J14+Datos!Z14-(Datos!T14+Datos!AH14))/(Datos!T14+Datos!AH14))
     ),IF(J_V="SI",(Datos!J14-Datos!T14)/Datos!T14,(Datos!J14+Datos!Z14-(Datos!T14+Datos!AH14))/(Datos!T14+Datos!AH14))," - ")</f>
        <v>2.8717948717948718E-2</v>
      </c>
      <c r="D14" s="1152">
        <f>IF(ISNUMBER(
   IF(J_V="SI",(Datos!K14-Datos!U14)/Datos!U14,(Datos!K14+Datos!AA14-(Datos!U14+Datos!AI14))/(Datos!U14+Datos!AI14))
     ),IF(J_V="SI",(Datos!K14-Datos!U14)/Datos!U14,(Datos!K14+Datos!AA14-(Datos!U14+Datos!AI14))/(Datos!U14+Datos!AI14))," - ")</f>
        <v>-0.10894596988485385</v>
      </c>
      <c r="E14" s="1152">
        <f>IF(ISNUMBER(
   IF(J_V="SI",(Datos!L14-Datos!V14)/Datos!V14,(Datos!L14+Datos!AB14-(Datos!V14+Datos!AJ14))/(Datos!V14+Datos!AJ14))
     ),IF(J_V="SI",(Datos!L14-Datos!V14)/Datos!V14,(Datos!L14+Datos!AB14-(Datos!V14+Datos!AJ14))/(Datos!V14+Datos!AJ14))," - ")</f>
        <v>-3.8363171355498722E-3</v>
      </c>
      <c r="F14" s="1153">
        <f>IF(ISNUMBER((Datos!M14-Datos!W14)/Datos!W14),(Datos!M14-Datos!W14)/Datos!W14," - ")</f>
        <v>0.67241379310344829</v>
      </c>
      <c r="G14" s="1154">
        <f>IF(ISNUMBER((Datos!N14-Datos!X14)/Datos!X14),(Datos!N14-Datos!X14)/Datos!X14," - ")</f>
        <v>6.4748201438848921E-2</v>
      </c>
      <c r="H14" s="1154">
        <f>IF(ISNUMBER(((NºAsuntos!G14/NºAsuntos!E14)-Datos!BD14)/Datos!BD14),((NºAsuntos!G14/NºAsuntos!E14)-Datos!BD14)/Datos!BD14," - ")</f>
        <v>-0.13382085806354185</v>
      </c>
      <c r="I14" s="1154">
        <f>IF(ISNUMBER(((NºAsuntos!I14/NºAsuntos!G14)-Datos!BE14)/Datos!BE14),((NºAsuntos!I14/NºAsuntos!G14)-Datos!BE14)/Datos!BE14," - ")</f>
        <v>0.11796103176338378</v>
      </c>
      <c r="J14" s="1154">
        <f>IF(ISNUMBER((('Resol  Asuntos'!D14/NºAsuntos!G14)-Datos!BF14)/Datos!BF14),(('Resol  Asuntos'!D14/NºAsuntos!G14)-Datos!BF14)/Datos!BF14," - ")</f>
        <v>-0.2196427171736606</v>
      </c>
      <c r="K14" s="1154">
        <f>IF(ISNUMBER((((NºAsuntos!C14+NºAsuntos!E14)/NºAsuntos!G14)-Datos!BG14)/Datos!BG14),(((NºAsuntos!C14+NºAsuntos!E14)/NºAsuntos!G14)-Datos!BG14)/Datos!BG14," - ")</f>
        <v>0.1336986569547064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0.20276497695852536</v>
      </c>
      <c r="C17" s="515">
        <f>IF(ISNUMBER(
   IF(D_I="SI",(Datos!J17-Datos!T17)/Datos!T17,(Datos!J17+Datos!AD17-(Datos!T17+Datos!AL17))/(Datos!T17+Datos!AL17))
     ),IF(D_I="SI",(Datos!J17-Datos!T17)/Datos!T17,(Datos!J17+Datos!AD17-(Datos!T17+Datos!AL17))/(Datos!T17+Datos!AL17))," - ")</f>
        <v>1.3795180722891567</v>
      </c>
      <c r="D17" s="515">
        <f>IF(ISNUMBER(
   IF(D_I="SI",(Datos!K17-Datos!U17)/Datos!U17,(Datos!K17+Datos!AE17-(Datos!U17+Datos!AM17))/(Datos!U17+Datos!AM17))
     ),IF(D_I="SI",(Datos!K17-Datos!U17)/Datos!U17,(Datos!K17+Datos!AE17-(Datos!U17+Datos!AM17))/(Datos!U17+Datos!AM17))," - ")</f>
        <v>1.6972477064220184</v>
      </c>
      <c r="E17" s="515">
        <f>IF(ISNUMBER(
   IF(D_I="SI",(Datos!L17-Datos!V17)/Datos!V17,(Datos!L17+Datos!AF17-(Datos!V17+Datos!AN17))/(Datos!V17+Datos!AN17))
     ),IF(D_I="SI",(Datos!L17-Datos!V17)/Datos!V17,(Datos!L17+Datos!AF17-(Datos!V17+Datos!AN17))/(Datos!V17+Datos!AN17))," - ")</f>
        <v>0.2988505747126437</v>
      </c>
      <c r="F17" s="515">
        <f>IF(ISNUMBER((Datos!M17-Datos!W17)/Datos!W17),(Datos!M17-Datos!W17)/Datos!W17," - ")</f>
        <v>0.3380281690140845</v>
      </c>
      <c r="G17" s="516">
        <f>IF(ISNUMBER((Datos!N17-Datos!X17)/Datos!X17),(Datos!N17-Datos!X17)/Datos!X17," - ")</f>
        <v>2.5</v>
      </c>
      <c r="H17" s="514">
        <f>IF(ISNUMBER(((NºAsuntos!G17/NºAsuntos!E17)-Datos!BD17)/Datos!BD17),((NºAsuntos!G17/NºAsuntos!E17)-Datos!BD17)/Datos!BD17," - ")</f>
        <v>0.13352688421786083</v>
      </c>
      <c r="I17" s="515">
        <f>IF(ISNUMBER(((NºAsuntos!I17/NºAsuntos!G17)-Datos!BE17)/Datos!BE17),((NºAsuntos!I17/NºAsuntos!G17)-Datos!BE17)/Datos!BE17," - ")</f>
        <v>-0.51845335835483619</v>
      </c>
      <c r="J17" s="521">
        <f>IF(ISNUMBER((('Resol  Asuntos'!D17/NºAsuntos!G17)-Datos!BF17)/Datos!BF17),(('Resol  Asuntos'!D17/NºAsuntos!G17)-Datos!BF17)/Datos!BF17," - ")</f>
        <v>-0.50392833189613873</v>
      </c>
      <c r="K17" s="522">
        <f>IF(ISNUMBER((((NºAsuntos!C17+NºAsuntos!E17)/NºAsuntos!G17)-Datos!BG17)/Datos!BG17),(((NºAsuntos!C17+NºAsuntos!E17)/NºAsuntos!G17)-Datos!BG17)/Datos!BG17," - ")</f>
        <v>-0.25020693592122167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0.36065573770491804</v>
      </c>
      <c r="D18" s="515">
        <f>IF(ISNUMBER(
   IF(D_I="SI",(Datos!K18-Datos!U18)/Datos!U18,(Datos!K18+Datos!AE18-(Datos!U18+Datos!AM18))/(Datos!U18+Datos!AM18))
     ),IF(D_I="SI",(Datos!K18-Datos!U18)/Datos!U18,(Datos!K18+Datos!AE18-(Datos!U18+Datos!AM18))/(Datos!U18+Datos!AM18))," - ")</f>
        <v>0.70175438596491224</v>
      </c>
      <c r="E18" s="515">
        <f>IF(ISNUMBER(
   IF(D_I="SI",(Datos!L18-Datos!V18)/Datos!V18,(Datos!L18+Datos!AF18-(Datos!V18+Datos!AN18))/(Datos!V18+Datos!AN18))
     ),IF(D_I="SI",(Datos!L18-Datos!V18)/Datos!V18,(Datos!L18+Datos!AF18-(Datos!V18+Datos!AN18))/(Datos!V18+Datos!AN18))," - ")</f>
        <v>-0.82352941176470584</v>
      </c>
      <c r="F18" s="515">
        <f>IF(ISNUMBER((Datos!M18-Datos!W18)/Datos!W18),(Datos!M18-Datos!W18)/Datos!W18," - ")</f>
        <v>-0.1</v>
      </c>
      <c r="G18" s="516">
        <f>IF(ISNUMBER((Datos!N18-Datos!X18)/Datos!X18),(Datos!N18-Datos!X18)/Datos!X18," - ")</f>
        <v>0.7407407407407407</v>
      </c>
      <c r="H18" s="514">
        <f>IF(ISNUMBER(((NºAsuntos!G18/NºAsuntos!E18)-Datos!BD18)/Datos!BD18),((NºAsuntos!G18/NºAsuntos!E18)-Datos!BD18)/Datos!BD18," - ")</f>
        <v>0.25068695835975485</v>
      </c>
      <c r="I18" s="515">
        <f>IF(ISNUMBER(((NºAsuntos!I18/NºAsuntos!G18)-Datos!BE18)/Datos!BE18),((NºAsuntos!I18/NºAsuntos!G18)-Datos!BE18)/Datos!BE18," - ")</f>
        <v>-0.89630078835657978</v>
      </c>
      <c r="J18" s="521">
        <f>IF(ISNUMBER((('Resol  Asuntos'!D18/NºAsuntos!G18)-Datos!BF18)/Datos!BF18),(('Resol  Asuntos'!D18/NºAsuntos!G18)-Datos!BF18)/Datos!BF18," - ")</f>
        <v>-0.47113402061855664</v>
      </c>
      <c r="K18" s="522">
        <f>IF(ISNUMBER((((NºAsuntos!C18+NºAsuntos!E18)/NºAsuntos!G18)-Datos!BG18)/Datos!BG18),(((NºAsuntos!C18+NºAsuntos!E18)/NºAsuntos!G18)-Datos!BG18)/Datos!BG18," - ")</f>
        <v>-0.20590693786570086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0.20869565217391303</v>
      </c>
      <c r="C23" s="1152">
        <f>IF(ISNUMBER(
   IF(Criterios!B14="SI",(Datos!J23-Datos!T23)/Datos!T23,(Datos!J23+Datos!AD23-(Datos!T23+Datos!AL23))/(Datos!T23+Datos!AL23))
     ),IF(Criterios!B14="SI",(Datos!J23-Datos!T23)/Datos!T23,(Datos!J23+Datos!AD23-(Datos!T23+Datos!AL23))/(Datos!T23+Datos!AL23))," - ")</f>
        <v>1.2683363148479427</v>
      </c>
      <c r="D23" s="1152">
        <f>IF(ISNUMBER(
   IF(Criterios!B14="SI",(Datos!K23-Datos!U23)/Datos!U23,(Datos!K23+Datos!AE23-(Datos!U23+Datos!AM23))/(Datos!U23+Datos!AM23))
     ),IF(Criterios!B14="SI",(Datos!K23-Datos!U23)/Datos!U23,(Datos!K23+Datos!AE23-(Datos!U23+Datos!AM23))/(Datos!U23+Datos!AM23))," - ")</f>
        <v>1.5821501014198782</v>
      </c>
      <c r="E23" s="1152">
        <f>IF(ISNUMBER(
   IF(Criterios!B14="SI",(Datos!L23-Datos!V23)/Datos!V23,(Datos!L23+Datos!AF23-(Datos!V23+Datos!AN23))/(Datos!V23+Datos!AN23))
     ),IF(Criterios!B14="SI",(Datos!L23-Datos!V23)/Datos!V23,(Datos!L23+Datos!AF23-(Datos!V23+Datos!AN23))/(Datos!V23+Datos!AN23))," - ")</f>
        <v>0.23021582733812951</v>
      </c>
      <c r="F23" s="1153">
        <f>IF(ISNUMBER((Datos!M23-Datos!W23)/Datos!W23),(Datos!M23-Datos!W23)/Datos!W23," - ")</f>
        <v>0.30921052631578949</v>
      </c>
      <c r="G23" s="1154">
        <f>IF(ISNUMBER((Datos!N23-Datos!X23)/Datos!X23),(Datos!N23-Datos!X23)/Datos!X23," - ")</f>
        <v>2.2943722943722942</v>
      </c>
      <c r="H23" s="1154">
        <f>IF(ISNUMBER(((NºAsuntos!G23/NºAsuntos!E23)-Datos!BD23)/Datos!BD23),((NºAsuntos!G23/NºAsuntos!E23)-Datos!BD23)/Datos!BD23," - ")</f>
        <v>0.1383453522821072</v>
      </c>
      <c r="I23" s="1154">
        <f>IF(ISNUMBER(((NºAsuntos!I23/NºAsuntos!G23)-Datos!BE23)/Datos!BE23),((NºAsuntos!I23/NºAsuntos!G23)-Datos!BE23)/Datos!BE23," - ")</f>
        <v>-0.52356920433802212</v>
      </c>
      <c r="J23" s="1154">
        <f>IF(ISNUMBER((('Resol  Asuntos'!D23/NºAsuntos!G23)-Datos!BF23)/Datos!BF23),(('Resol  Asuntos'!D23/NºAsuntos!G23)-Datos!BF23)/Datos!BF23," - ")</f>
        <v>-0.49297659899946256</v>
      </c>
      <c r="K23" s="1154">
        <f>IF(ISNUMBER((((NºAsuntos!C23+NºAsuntos!E23)/NºAsuntos!G23)-Datos!BG23)/Datos!BG23),(((NºAsuntos!C23+NºAsuntos!E23)/NºAsuntos!G23)-Datos!BG23)/Datos!BG23," - ")</f>
        <v>-0.24115862552357298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3.7181996086105673E-2</v>
      </c>
      <c r="C31" s="1092">
        <f>IF(ISNUMBER(
   IF(J_V="SI",(Datos!J31-Datos!T31)/Datos!T31,(Datos!J31+Datos!Z31-(Datos!T31+Datos!AH31))/(Datos!T31+Datos!AH31))
     ),IF(J_V="SI",(Datos!J31-Datos!T31)/Datos!T31,(Datos!J31+Datos!Z31-(Datos!T31+Datos!AH31))/(Datos!T31+Datos!AH31))," - ")</f>
        <v>0.48044328552803128</v>
      </c>
      <c r="D31" s="1092">
        <f>IF(ISNUMBER(
   IF(J_V="SI",(Datos!K31-Datos!U31)/Datos!U31,(Datos!K31+Datos!AA31-(Datos!U31+Datos!AI31))/(Datos!U31+Datos!AI31))
     ),IF(J_V="SI",(Datos!K31-Datos!U31)/Datos!U31,(Datos!K31+Datos!AA31-(Datos!U31+Datos!AI31))/(Datos!U31+Datos!AI31))," - ")</f>
        <v>0.40505548705302097</v>
      </c>
      <c r="E31" s="1092">
        <f>IF(ISNUMBER(
   IF(J_V="SI",(Datos!L31-Datos!V31)/Datos!V31,(Datos!L31+Datos!AB31-(Datos!V31+Datos!AJ31))/(Datos!V31+Datos!AJ31))
     ),IF(J_V="SI",(Datos!L31-Datos!V31)/Datos!V31,(Datos!L31+Datos!AB31-(Datos!V31+Datos!AJ31))/(Datos!V31+Datos!AJ31))," - ")</f>
        <v>5.7547169811320756E-2</v>
      </c>
      <c r="F31" s="1093">
        <f>IF(ISNUMBER((Datos!M31-Datos!W31)/Datos!W31),(Datos!M31-Datos!W31)/Datos!W31," - ")</f>
        <v>0.46641791044776121</v>
      </c>
      <c r="G31" s="1094">
        <f>IF(ISNUMBER((Datos!N31-Datos!X31)/Datos!X31),(Datos!N31-Datos!X31)/Datos!X31," - ")</f>
        <v>1.0766208251473477</v>
      </c>
      <c r="H31" s="1095">
        <f>IF(ISNUMBER((Tasas!B31-Datos!BD31)/Datos!BD31),(Tasas!B31-Datos!BD31)/Datos!BD31," - ")</f>
        <v>-5.092244952032849E-2</v>
      </c>
      <c r="I31" s="1096">
        <f>IF(ISNUMBER((Tasas!C31-Datos!BE31)/Datos!BE31),(Tasas!C31-Datos!BE31)/Datos!BE31," - ")</f>
        <v>-0.24732711301712931</v>
      </c>
      <c r="J31" s="1097">
        <f>IF(ISNUMBER((Tasas!D31-Datos!BF31)/Datos!BF31),(Tasas!D31-Datos!BF31)/Datos!BF31," - ")</f>
        <v>-0.35103420823029591</v>
      </c>
      <c r="K31" s="1097">
        <f>IF(ISNUMBER((Tasas!E31-Datos!BG31)/Datos!BG31),(Tasas!E31-Datos!BG31)/Datos!BG31," - ")</f>
        <v>-7.2486353938559997E-2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0jhxZnPRLM/3Tpm5bt5RjiRRp6ir8OV3U6okYnjocNYSzmo339SkYChBYtiGcX+n1jtpp5gg4fBqJOPXynPKw==" saltValue="zoPYIcN6GzsPwtRg/Hhl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UBRIQUE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0.83333333333333337</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1.0030090270812437</v>
      </c>
      <c r="C12" s="498">
        <f>IF(ISNUMBER(NºAsuntos!I12/NºAsuntos!G12),NºAsuntos!I12/NºAsuntos!G12," - ")</f>
        <v>0.77900000000000003</v>
      </c>
      <c r="D12" s="499">
        <f>IF(ISNUMBER('Resol  Asuntos'!D12/NºAsuntos!G12),'Resol  Asuntos'!D12/NºAsuntos!G12," - ")</f>
        <v>0.189</v>
      </c>
      <c r="E12" s="500">
        <f>IF(ISNUMBER((NºAsuntos!C12+NºAsuntos!E12)/NºAsuntos!G12),(NºAsuntos!C12+NºAsuntos!E12)/NºAsuntos!G12," - ")</f>
        <v>1.7789999999999999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1.0029910269192424</v>
      </c>
      <c r="C14" s="1156">
        <f>IF(ISNUMBER(NºAsuntos!I14/NºAsuntos!G14),NºAsuntos!I14/NºAsuntos!G14," - ")</f>
        <v>0.77435387673956257</v>
      </c>
      <c r="D14" s="1157">
        <f>IF(ISNUMBER('Resol  Asuntos'!D14/NºAsuntos!G14),'Resol  Asuntos'!D14/NºAsuntos!G14," - ")</f>
        <v>0.19284294234592445</v>
      </c>
      <c r="E14" s="1158">
        <f>IF(ISNUMBER((NºAsuntos!C14+NºAsuntos!E14)/NºAsuntos!G14),(NºAsuntos!C14+NºAsuntos!E14)/NºAsuntos!G14," - ")</f>
        <v>1.7743538767395626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0.9924050632911392</v>
      </c>
      <c r="C17" s="498">
        <f>IF(ISNUMBER(NºAsuntos!I17/NºAsuntos!G17),NºAsuntos!I17/NºAsuntos!G17," - ")</f>
        <v>0.28826530612244899</v>
      </c>
      <c r="D17" s="499">
        <f>IF(ISNUMBER('Resol  Asuntos'!D17/NºAsuntos!G17),'Resol  Asuntos'!D17/NºAsuntos!G17," - ")</f>
        <v>0.16156462585034015</v>
      </c>
      <c r="E17" s="500">
        <f>IF(ISNUMBER((NºAsuntos!C17+NºAsuntos!E17)/NºAsuntos!G17),(NºAsuntos!C17+NºAsuntos!E17)/NºAsuntos!G17," - ")</f>
        <v>1.2295918367346939</v>
      </c>
      <c r="G17" s="523"/>
    </row>
    <row r="18" spans="1:7">
      <c r="A18" s="450" t="str">
        <f>Datos!A18</f>
        <v>Jdos. Violencia contra la mujer</v>
      </c>
      <c r="B18" s="497">
        <f>IF(ISNUMBER(NºAsuntos!G18/NºAsuntos!E18),NºAsuntos!G18/NºAsuntos!E18," - ")</f>
        <v>1.1686746987951808</v>
      </c>
      <c r="C18" s="498">
        <f>IF(ISNUMBER(NºAsuntos!I18/NºAsuntos!G18),NºAsuntos!I18/NºAsuntos!G18," - ")</f>
        <v>3.0927835051546393E-2</v>
      </c>
      <c r="D18" s="499">
        <f>IF(ISNUMBER('Resol  Asuntos'!D18/NºAsuntos!G18),'Resol  Asuntos'!D18/NºAsuntos!G18," - ")</f>
        <v>9.2783505154639179E-2</v>
      </c>
      <c r="E18" s="500">
        <f>IF(ISNUMBER((NºAsuntos!C18+NºAsuntos!E18)/NºAsuntos!G18),(NºAsuntos!C18+NºAsuntos!E18)/NºAsuntos!G18," - ")</f>
        <v>1.0309278350515463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1.0039432176656151</v>
      </c>
      <c r="C23" s="1156">
        <f>IF(ISNUMBER(NºAsuntos!I23/NºAsuntos!G23),NºAsuntos!I23/NºAsuntos!G23," - ")</f>
        <v>0.26865671641791045</v>
      </c>
      <c r="D23" s="1159">
        <f>IF(ISNUMBER('Resol  Asuntos'!D23/NºAsuntos!G23),'Resol  Asuntos'!D23/NºAsuntos!G23," - ")</f>
        <v>0.15632364493322859</v>
      </c>
      <c r="E23" s="1158">
        <f>IF(ISNUMBER((NºAsuntos!C23+NºAsuntos!E23)/NºAsuntos!G23),(NºAsuntos!C23+NºAsuntos!E23)/NºAsuntos!G23," - ")</f>
        <v>1.2144540455616653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1.0035226772346983</v>
      </c>
      <c r="C31" s="1099">
        <f>IF(ISNUMBER(NºAsuntos!I31/NºAsuntos!G31),NºAsuntos!I31/NºAsuntos!G31," - ")</f>
        <v>0.49188240456340498</v>
      </c>
      <c r="D31" s="1100">
        <f>IF(ISNUMBER('Resol  Asuntos'!D31/NºAsuntos!G31),'Resol  Asuntos'!D31/NºAsuntos!G31," - ")</f>
        <v>0.17244405440982888</v>
      </c>
      <c r="E31" s="1101">
        <f>IF(ISNUMBER((NºAsuntos!C31+NºAsuntos!E31)/NºAsuntos!G31),(NºAsuntos!C31+NºAsuntos!E31)/NºAsuntos!G31," - ")</f>
        <v>1.4616059675296182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BI3ZwE+Bsm7pvzA6yj6KexNQREqbHX6jTWi1CJQiRW5ec5I3tMGD2GPRHdV/fy4NbSAQYL0Ov6rULGJhJOihA==" saltValue="uERwxROWfezyKoSAMcip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UBRIQUE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0.83333333333333337</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543</v>
      </c>
      <c r="Y12" s="374">
        <f t="shared" si="0"/>
        <v>543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189</v>
      </c>
      <c r="AJ12" s="243" t="str">
        <f>IF(ISNUMBER(Datos!BW12),Datos!BW12," - ")</f>
        <v xml:space="preserve"> - </v>
      </c>
      <c r="AK12" s="242" t="str">
        <f>IF(ISNUMBER(Datos!BX12),Datos!BX12," - ")</f>
        <v xml:space="preserve"> - </v>
      </c>
      <c r="AL12" s="266">
        <f>IF(ISNUMBER(NºAsuntos!G12/NºAsuntos!E12),NºAsuntos!G12/NºAsuntos!E12," - ")</f>
        <v>1.0030090270812437</v>
      </c>
      <c r="AM12" s="284">
        <f>IF(ISNUMBER(((NºAsuntos!I12/NºAsuntos!G12)*11)/factor_trimestre),((NºAsuntos!I12/NºAsuntos!G12)*11)/factor_trimestre," - ")</f>
        <v>8.5690000000000008</v>
      </c>
      <c r="AN12" s="267">
        <f>IF(ISNUMBER('Resol  Asuntos'!D12/NºAsuntos!G12),'Resol  Asuntos'!D12/NºAsuntos!G12," - ")</f>
        <v>0.189</v>
      </c>
      <c r="AO12" s="268">
        <f>IF(ISNUMBER((NºAsuntos!C12+NºAsuntos!E12)/NºAsuntos!G12),(NºAsuntos!C12+NºAsuntos!E12)/NºAsuntos!G12," - ")</f>
        <v>1.7789999999999999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543</v>
      </c>
      <c r="Y14" s="1165">
        <f t="shared" si="6"/>
        <v>549</v>
      </c>
      <c r="Z14" s="1165">
        <f t="shared" si="6"/>
        <v>0</v>
      </c>
      <c r="AA14" s="1165">
        <f t="shared" si="6"/>
        <v>0</v>
      </c>
      <c r="AB14" s="1165">
        <f t="shared" si="6"/>
        <v>1226</v>
      </c>
      <c r="AC14" s="1165">
        <f t="shared" si="6"/>
        <v>0</v>
      </c>
      <c r="AD14" s="1165">
        <f t="shared" si="6"/>
        <v>0</v>
      </c>
      <c r="AE14" s="1169">
        <f t="shared" si="6"/>
        <v>0</v>
      </c>
      <c r="AF14" s="1162">
        <f t="shared" si="6"/>
        <v>0</v>
      </c>
      <c r="AG14" s="1170">
        <f t="shared" si="6"/>
        <v>0</v>
      </c>
      <c r="AH14" s="1167">
        <f t="shared" si="6"/>
        <v>0</v>
      </c>
      <c r="AI14" s="1162">
        <f t="shared" si="6"/>
        <v>194</v>
      </c>
      <c r="AJ14" s="1164">
        <f t="shared" si="6"/>
        <v>0</v>
      </c>
      <c r="AK14" s="1167">
        <f>SUBTOTAL(9,AK9:AK13)</f>
        <v>0</v>
      </c>
      <c r="AL14" s="1171">
        <f>IF(ISNUMBER(NºAsuntos!G14/NºAsuntos!E14),NºAsuntos!G14/NºAsuntos!E14," - ")</f>
        <v>1.0029910269192424</v>
      </c>
      <c r="AM14" s="1171">
        <f>IF(ISNUMBER(((NºAsuntos!I14/NºAsuntos!G14)*11)/factor_trimestre),((NºAsuntos!I14/NºAsuntos!G14)*11)/factor_trimestre," - ")</f>
        <v>8.5178926441351877</v>
      </c>
      <c r="AN14" s="1172">
        <f>IF(ISNUMBER('Resol  Asuntos'!D14/NºAsuntos!G14),'Resol  Asuntos'!D14/NºAsuntos!G14," - ")</f>
        <v>0.19284294234592445</v>
      </c>
      <c r="AO14" s="1173">
        <f>IF(ISNUMBER((NºAsuntos!C14+NºAsuntos!E14)/NºAsuntos!G14),(NºAsuntos!C14+NºAsuntos!E14)/NºAsuntos!G14," - ")</f>
        <v>1.7743538767395626</v>
      </c>
      <c r="AP14" s="1174" t="str">
        <f t="shared" si="2"/>
        <v xml:space="preserve"> - </v>
      </c>
      <c r="AQ14" s="1174" t="str">
        <f>IF(ISNUMBER((H14-W14+K14)/(F14)),(H14-W14+K14)/(F14)," - ")</f>
        <v xml:space="preserve"> - </v>
      </c>
      <c r="AR14" s="1175">
        <f>IF(ISNUMBER((Datos!P14-Datos!Q14)/(Datos!R14-Datos!P14+Datos!Q14)),(Datos!P14-Datos!Q14)/(Datos!R14-Datos!P14+Datos!Q14)," - ")</f>
        <v>-0.17552118359112306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330</v>
      </c>
      <c r="G17" s="373">
        <f>IF(ISNUMBER(IF(D_I="SI",Datos!I17,Datos!I17+Datos!AC17)),IF(D_I="SI",Datos!I17,Datos!I17+Datos!AC17)," - ")</f>
        <v>261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1176</v>
      </c>
      <c r="X17" s="240">
        <f>IF(ISNUMBER(Datos!Q17),Datos!Q17," - ")</f>
        <v>34</v>
      </c>
      <c r="Y17" s="374">
        <f t="shared" ref="Y17:Y22" si="9">SUM(W17:X17)</f>
        <v>1210</v>
      </c>
      <c r="Z17" s="375" t="str">
        <f>IF(ISNUMBER(Datos!CC17),Datos!CC17," - ")</f>
        <v xml:space="preserve"> - </v>
      </c>
      <c r="AA17" s="372">
        <f>IF(ISNUMBER(IF(D_I="SI",Datos!L17,Datos!L17+Datos!AF17)),IF(D_I="SI",Datos!L17,Datos!L17+Datos!AF17)," - ")</f>
        <v>339</v>
      </c>
      <c r="AB17" s="374">
        <f>IF(ISNUMBER(Datos!R17),Datos!R17," - ")</f>
        <v>24</v>
      </c>
      <c r="AC17" s="374">
        <f t="shared" si="8"/>
        <v>363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190</v>
      </c>
      <c r="AJ17" s="245" t="str">
        <f>IF(ISNUMBER(Datos!BW17),Datos!BW17," - ")</f>
        <v xml:space="preserve"> - </v>
      </c>
      <c r="AK17" s="246" t="str">
        <f>IF(ISNUMBER(Datos!BX17),Datos!BX17," - ")</f>
        <v xml:space="preserve"> - </v>
      </c>
      <c r="AL17" s="266">
        <f>IF(ISNUMBER(NºAsuntos!G17/NºAsuntos!E17),NºAsuntos!G17/NºAsuntos!E17," - ")</f>
        <v>0.9924050632911392</v>
      </c>
      <c r="AM17" s="284">
        <f>IF(ISNUMBER(((NºAsuntos!I17/NºAsuntos!G17)*11)/factor_trimestre),((NºAsuntos!I17/NºAsuntos!G17)*11)/factor_trimestre," - ")</f>
        <v>3.170918367346939</v>
      </c>
      <c r="AN17" s="267">
        <f>IF(ISNUMBER('Resol  Asuntos'!D17/NºAsuntos!G17),'Resol  Asuntos'!D17/NºAsuntos!G17," - ")</f>
        <v>0.16156462585034015</v>
      </c>
      <c r="AO17" s="268">
        <f>IF(ISNUMBER((NºAsuntos!C17+NºAsuntos!E17)/NºAsuntos!G17),(NºAsuntos!C17+NºAsuntos!E17)/NºAsuntos!G17," - ")</f>
        <v>1.2295918367346939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v>
      </c>
      <c r="X18" s="240">
        <f>IF(ISNUMBER(Datos!Q18),Datos!Q18," - ")</f>
        <v>0</v>
      </c>
      <c r="Y18" s="374">
        <f t="shared" si="9"/>
        <v>97</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1.1686746987951808</v>
      </c>
      <c r="AM18" s="284">
        <f>IF(ISNUMBER(((NºAsuntos!I18/NºAsuntos!G18)*11)/factor_trimestre),((NºAsuntos!I18/NºAsuntos!G18)*11)/factor_trimestre," - ")</f>
        <v>0.34020618556701032</v>
      </c>
      <c r="AN18" s="267">
        <f>IF(ISNUMBER('Resol  Asuntos'!D18/NºAsuntos!G18),'Resol  Asuntos'!D18/NºAsuntos!G18," - ")</f>
        <v>9.2783505154639179E-2</v>
      </c>
      <c r="AO18" s="268">
        <f>IF(ISNUMBER((NºAsuntos!C18+NºAsuntos!E18)/NºAsuntos!G18),(NºAsuntos!C18+NºAsuntos!E18)/NºAsuntos!G18," - ")</f>
        <v>1.0309278350515463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330</v>
      </c>
      <c r="G23" s="1163">
        <f>SUBTOTAL(9,G16:G22)</f>
        <v>278</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1273</v>
      </c>
      <c r="X23" s="1164">
        <f t="shared" si="14"/>
        <v>34</v>
      </c>
      <c r="Y23" s="1165">
        <f t="shared" si="14"/>
        <v>1307</v>
      </c>
      <c r="Z23" s="1165">
        <f t="shared" si="14"/>
        <v>0</v>
      </c>
      <c r="AA23" s="1165">
        <f t="shared" si="14"/>
        <v>342</v>
      </c>
      <c r="AB23" s="1165">
        <f t="shared" si="14"/>
        <v>24</v>
      </c>
      <c r="AC23" s="1165">
        <f t="shared" si="14"/>
        <v>366</v>
      </c>
      <c r="AD23" s="1165">
        <f t="shared" si="14"/>
        <v>0</v>
      </c>
      <c r="AE23" s="1169">
        <f t="shared" si="14"/>
        <v>0</v>
      </c>
      <c r="AF23" s="1162">
        <f t="shared" si="14"/>
        <v>0</v>
      </c>
      <c r="AG23" s="1170">
        <f t="shared" si="14"/>
        <v>0</v>
      </c>
      <c r="AH23" s="1167">
        <f t="shared" si="14"/>
        <v>0</v>
      </c>
      <c r="AI23" s="1162">
        <f t="shared" si="14"/>
        <v>199</v>
      </c>
      <c r="AJ23" s="1164">
        <f t="shared" si="14"/>
        <v>0</v>
      </c>
      <c r="AK23" s="1167">
        <f t="shared" si="14"/>
        <v>0</v>
      </c>
      <c r="AL23" s="1171">
        <f>IF(ISNUMBER(NºAsuntos!G23/NºAsuntos!E23),NºAsuntos!G23/NºAsuntos!E23," - ")</f>
        <v>1.0039432176656151</v>
      </c>
      <c r="AM23" s="1171">
        <f>IF(ISNUMBER(((NºAsuntos!I23/NºAsuntos!G23)*11)/factor_trimestre),((NºAsuntos!I23/NºAsuntos!G23)*11)/factor_trimestre," - ")</f>
        <v>2.955223880597015</v>
      </c>
      <c r="AN23" s="1172">
        <f>IF(ISNUMBER('Resol  Asuntos'!D23/NºAsuntos!G23),'Resol  Asuntos'!D23/NºAsuntos!G23," - ")</f>
        <v>0.15632364493322859</v>
      </c>
      <c r="AO23" s="1173">
        <f>IF(ISNUMBER((NºAsuntos!C23+NºAsuntos!E23)/NºAsuntos!G23),(NºAsuntos!C23+NºAsuntos!E23)/NºAsuntos!G23," - ")</f>
        <v>1.2144540455616653</v>
      </c>
      <c r="AP23" s="1174" t="str">
        <f t="shared" si="2"/>
        <v xml:space="preserve"> - </v>
      </c>
      <c r="AQ23" s="1174">
        <f>IF(ISNUMBER((H23-W23+K23)/(F23)),(H23-W23+K23)/(F23)," - ")</f>
        <v>-3.8575757575757574</v>
      </c>
      <c r="AR23" s="1175">
        <f>IF(ISNUMBER((Datos!P23-Datos!Q23)/(Datos!R23-Datos!P23+Datos!Q23)),(Datos!P23-Datos!Q23)/(Datos!R23-Datos!P23+Datos!Q23)," - ")</f>
        <v>-0.36842105263157893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330</v>
      </c>
      <c r="G31" s="1118">
        <f t="shared" si="20"/>
        <v>278</v>
      </c>
      <c r="H31" s="1117">
        <f t="shared" si="20"/>
        <v>0</v>
      </c>
      <c r="I31" s="1119">
        <f t="shared" si="20"/>
        <v>0</v>
      </c>
      <c r="J31" s="1119">
        <f t="shared" si="20"/>
        <v>0</v>
      </c>
      <c r="K31" s="1180">
        <f t="shared" si="20"/>
        <v>0</v>
      </c>
      <c r="L31" s="1119">
        <f t="shared" si="20"/>
        <v>302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1279</v>
      </c>
      <c r="X31" s="1118">
        <f t="shared" si="21"/>
        <v>577</v>
      </c>
      <c r="Y31" s="1125">
        <f t="shared" si="21"/>
        <v>1856</v>
      </c>
      <c r="Z31" s="1125">
        <f t="shared" si="21"/>
        <v>0</v>
      </c>
      <c r="AA31" s="1125">
        <f t="shared" si="21"/>
        <v>342</v>
      </c>
      <c r="AB31" s="1125">
        <f t="shared" si="21"/>
        <v>1250</v>
      </c>
      <c r="AC31" s="1125">
        <f t="shared" si="21"/>
        <v>366</v>
      </c>
      <c r="AD31" s="1125">
        <f t="shared" si="21"/>
        <v>0</v>
      </c>
      <c r="AE31" s="1127">
        <f t="shared" si="21"/>
        <v>0</v>
      </c>
      <c r="AF31" s="1128">
        <f t="shared" si="21"/>
        <v>0</v>
      </c>
      <c r="AG31" s="1129">
        <f t="shared" si="21"/>
        <v>0</v>
      </c>
      <c r="AH31" s="1127">
        <f t="shared" si="21"/>
        <v>0</v>
      </c>
      <c r="AI31" s="1117">
        <f t="shared" si="21"/>
        <v>393</v>
      </c>
      <c r="AJ31" s="1117">
        <f t="shared" si="21"/>
        <v>0</v>
      </c>
      <c r="AK31" s="1127">
        <f t="shared" si="21"/>
        <v>0</v>
      </c>
      <c r="AL31" s="1183">
        <f>IF(ISNUMBER(NºAsuntos!G31/NºAsuntos!E31),NºAsuntos!G31/NºAsuntos!E31," - ")</f>
        <v>1.0035226772346983</v>
      </c>
      <c r="AM31" s="1184">
        <f>IF(ISNUMBER(((NºAsuntos!I31/NºAsuntos!G31)*11)/factor_trimestre),((NºAsuntos!I31/NºAsuntos!G31)*11)/factor_trimestre," - ")</f>
        <v>5.4107064501974547</v>
      </c>
      <c r="AN31" s="1184">
        <f>IF(ISNUMBER('Resol  Asuntos'!D31/NºAsuntos!G31),'Resol  Asuntos'!D31/NºAsuntos!G31," - ")</f>
        <v>0.17244405440982888</v>
      </c>
      <c r="AO31" s="1185">
        <f>IF(ISNUMBER((NºAsuntos!C31+NºAsuntos!E31)/NºAsuntos!G31),(NºAsuntos!C31+NºAsuntos!E31)/NºAsuntos!G31," - ")</f>
        <v>1.4616059675296182</v>
      </c>
      <c r="AP31" s="1186" t="str">
        <f t="shared" si="2"/>
        <v xml:space="preserve"> - </v>
      </c>
      <c r="AQ31" s="1187">
        <f>IF(OR(ISNUMBER(FIND("01",Criterios!A8,1)),ISNUMBER(FIND("02",Criterios!A8,1)),ISNUMBER(FIND("03",Criterios!A8,1)),ISNUMBER(FIND("04",Criterios!A8,1))),(I31-W31+K31)/(F31-K31),(H31-W31+K31)/(F31-K31))</f>
        <v>-3.875757575757576</v>
      </c>
      <c r="AR31" s="1188">
        <f>IF(ISNUMBER((Datos!P31-Datos!Q31)/(Datos!R31-Datos!P31+Datos!Q31)),(Datos!P31-Datos!Q31)/(Datos!R31-Datos!P31+Datos!Q31)," - ")</f>
        <v>-0.18032786885245902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170.41126723312635</v>
      </c>
      <c r="G33" s="277">
        <f>IF(ISNUMBER(STDEV(G8:G30)),STDEV(G8:G30),"-")</f>
        <v>130.08440483375546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588.5320317374003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101.37589175228709</v>
      </c>
      <c r="AJ33" s="276">
        <f t="shared" si="25"/>
        <v>0</v>
      </c>
      <c r="AK33" s="278">
        <f t="shared" si="25"/>
        <v>0</v>
      </c>
      <c r="AL33" s="273">
        <f t="shared" si="25"/>
        <v>6.8800542899760106E-2</v>
      </c>
      <c r="AM33" s="274">
        <f t="shared" si="25"/>
        <v>3.8059656754167688</v>
      </c>
      <c r="AN33" s="274">
        <f t="shared" si="25"/>
        <v>0.27782699154420226</v>
      </c>
      <c r="AO33" s="275">
        <f t="shared" si="25"/>
        <v>0.35226096436196103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4hrPNZ5VCXlRHcMkA+uzMHQiE1geNLgmaJZtYm+pko/I5ZZy8HBQODaFDuEebTPWMOksgkw8UKqkKy1j1Vs1A==" saltValue="d/bPENeM0da+4zVqwxVk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UBRIQUE</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-0.14285714285714285</v>
      </c>
      <c r="F10" s="393">
        <f>IF(ISNUMBER((Datos!K10-Datos!U10)/Datos!U10),(Datos!K10-Datos!U10)/Datos!U10," - ")</f>
        <v>-0.14285714285714285</v>
      </c>
      <c r="G10" s="394" t="str">
        <f>IF(ISNUMBER((Datos!L10-Datos!V10)/Datos!V10),(Datos!L10-Datos!V10)/Datos!V10," - ")</f>
        <v xml:space="preserve"> - </v>
      </c>
      <c r="H10" s="244">
        <f>IF(ISNUMBER((Datos!M10-Datos!W10)/Datos!W10),(Datos!M10-Datos!W10)/Datos!W10," - ")</f>
        <v>4</v>
      </c>
      <c r="I10" s="395" t="str">
        <f>IF(ISNUMBER((Tasas!C10-Datos!BE10)/Datos!BE10),(Tasas!C10-Datos!BE10)/Datos!BE10," - ")</f>
        <v xml:space="preserve"> - </v>
      </c>
      <c r="J10" s="394">
        <f>IF(ISNUMBER((Tasas!D10-Datos!BF10)/Datos!BF10),(Tasas!D10-Datos!BF10)/Datos!BF10," - ")</f>
        <v>4.8333333333333339</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0.64347826086956517</v>
      </c>
      <c r="I12" s="395">
        <f>IF(ISNUMBER((Tasas!C12-Datos!BE12)/Datos!BE12),(Tasas!C12-Datos!BE12)/Datos!BE12," - ")</f>
        <v>0.11769565217391301</v>
      </c>
      <c r="J12" s="394">
        <f>IF(ISNUMBER((Tasas!D12-Datos!BF12)/Datos!BF12),(Tasas!D12-Datos!BF12)/Datos!BF12," - ")</f>
        <v>-0.23720143884892086</v>
      </c>
      <c r="K12" s="396">
        <f>IF(ISNUMBER((Tasas!E12-Datos!BG12)/Datos!BG12),(Tasas!E12-Datos!BG12)/Datos!BG12," - ")</f>
        <v>0.13411249999999997</v>
      </c>
      <c r="M12" t="e">
        <f>IF(Monitorios="SI",Datos!CE12,0)</f>
        <v>#REF!</v>
      </c>
      <c r="N12" t="e">
        <f>IF(Monitorios="SI",Datos!CF12,0)</f>
        <v>#REF!</v>
      </c>
      <c r="O12" t="e">
        <f>IF(Monitorios="SI",Datos!CG12,0)</f>
        <v>#REF!</v>
      </c>
      <c r="P12" t="e">
        <f>IF(Monitorios="SI",Datos!CH12,0)</f>
        <v>#REF!</v>
      </c>
      <c r="Q12">
        <f>IF(J_V="SI",0,Datos!AG12)</f>
        <v>7</v>
      </c>
      <c r="R12">
        <f>IF(J_V="SI",0,Datos!AH12)</f>
        <v>48</v>
      </c>
      <c r="S12">
        <f>IF(J_V="SI",0,Datos!AI12)</f>
        <v>46</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0.67241379310344829</v>
      </c>
      <c r="I14" s="402">
        <f>IF(ISNUMBER((Tasas!C14-Datos!BE14)/Datos!BE14),(Tasas!C14-Datos!BE14)/Datos!BE14," - ")</f>
        <v>0.11796103176338378</v>
      </c>
      <c r="J14" s="400">
        <f>IF(ISNUMBER((Tasas!D14-Datos!BF14)/Datos!BF14),(Tasas!D14-Datos!BF14)/Datos!BF14," - ")</f>
        <v>-0.2196427171736606</v>
      </c>
      <c r="K14" s="403">
        <f>IF(ISNUMBER((Tasas!E14-Datos!BG14)/Datos!BG14),(Tasas!E14-Datos!BG14)/Datos!BG14," - ")</f>
        <v>0.1336986569547064</v>
      </c>
      <c r="M14" t="e">
        <f>IF(Monitorios="SI",Datos!CE14,0)</f>
        <v>#REF!</v>
      </c>
      <c r="N14" t="e">
        <f>IF(Monitorios="SI",Datos!CF14,0)</f>
        <v>#REF!</v>
      </c>
      <c r="O14" t="e">
        <f>IF(Monitorios="SI",Datos!CG14,0)</f>
        <v>#REF!</v>
      </c>
      <c r="P14" t="e">
        <f>IF(Monitorios="SI",Datos!CH14,0)</f>
        <v>#REF!</v>
      </c>
      <c r="Q14">
        <f>IF(J_V="SI",0,Datos!AG14)</f>
        <v>7</v>
      </c>
      <c r="R14">
        <f>IF(J_V="SI",0,Datos!AH14)</f>
        <v>48</v>
      </c>
      <c r="S14">
        <f>IF(J_V="SI",0,Datos!AI14)</f>
        <v>46</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0.20276497695852536</v>
      </c>
      <c r="E17" s="393">
        <f>IF(ISNUMBER(
   IF(D_I="SI",(Datos!J17-Datos!T17)/Datos!T17,(Datos!J17+Datos!AD17-(Datos!T17+Datos!AL17))/(Datos!T17+Datos!AL17))
     ),IF(D_I="SI",(Datos!J17-Datos!T17)/Datos!T17,(Datos!J17+Datos!AD17-(Datos!T17+Datos!AL17))/(Datos!T17+Datos!AL17))," - ")</f>
        <v>1.3795180722891567</v>
      </c>
      <c r="F17" s="393">
        <f>IF(ISNUMBER(
   IF(D_I="SI",(Datos!K17-Datos!U17)/Datos!U17,(Datos!K17+Datos!AE17-(Datos!U17+Datos!AM17))/(Datos!U17+Datos!AM17))
     ),IF(D_I="SI",(Datos!K17-Datos!U17)/Datos!U17,(Datos!K17+Datos!AE17-(Datos!U17+Datos!AM17))/(Datos!U17+Datos!AM17))," - ")</f>
        <v>1.6972477064220184</v>
      </c>
      <c r="G17" s="394">
        <f>IF(ISNUMBER(
   IF(D_I="SI",(Datos!L17-Datos!V17)/Datos!V17,(Datos!L17+Datos!AF17-(Datos!V17+Datos!AN17))/(Datos!V17+Datos!AN17))
     ),IF(D_I="SI",(Datos!L17-Datos!V17)/Datos!V17,(Datos!L17+Datos!AF17-(Datos!V17+Datos!AN17))/(Datos!V17+Datos!AN17))," - ")</f>
        <v>0.2988505747126437</v>
      </c>
      <c r="H17" s="244">
        <f>IF(ISNUMBER((Datos!M17-Datos!W17)/Datos!W17),(Datos!M17-Datos!W17)/Datos!W17," - ")</f>
        <v>0.3380281690140845</v>
      </c>
      <c r="I17" s="395">
        <f>IF(ISNUMBER((Tasas!C17-Datos!BE17)/Datos!BE17),(Tasas!C17-Datos!BE17)/Datos!BE17," - ")</f>
        <v>-0.51845335835483619</v>
      </c>
      <c r="J17" s="394">
        <f>IF(ISNUMBER((Tasas!D17-Datos!BF17)/Datos!BF17),(Tasas!D17-Datos!BF17)/Datos!BF17," - ")</f>
        <v>-0.50392833189613873</v>
      </c>
      <c r="K17" s="396">
        <f>IF(ISNUMBER((Tasas!E17-Datos!BG17)/Datos!BG17),(Tasas!E17-Datos!BG17)/Datos!BG17," - ")</f>
        <v>-0.25020693592122167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0.36065573770491804</v>
      </c>
      <c r="F18" s="393">
        <f>IF(ISNUMBER(
   IF(D_I="SI",(Datos!K18-Datos!U18)/Datos!U18,(Datos!K18+Datos!AE18-(Datos!U18+Datos!AM18))/(Datos!U18+Datos!AM18))
     ),IF(D_I="SI",(Datos!K18-Datos!U18)/Datos!U18,(Datos!K18+Datos!AE18-(Datos!U18+Datos!AM18))/(Datos!U18+Datos!AM18))," - ")</f>
        <v>0.70175438596491224</v>
      </c>
      <c r="G18" s="394">
        <f>IF(ISNUMBER(
   IF(D_I="SI",(Datos!L18-Datos!V18)/Datos!V18,(Datos!L18+Datos!AF18-(Datos!V18+Datos!AN18))/(Datos!V18+Datos!AN18))
     ),IF(D_I="SI",(Datos!L18-Datos!V18)/Datos!V18,(Datos!L18+Datos!AF18-(Datos!V18+Datos!AN18))/(Datos!V18+Datos!AN18))," - ")</f>
        <v>-0.82352941176470584</v>
      </c>
      <c r="H18" s="244">
        <f>IF(ISNUMBER((Datos!M18-Datos!W18)/Datos!W18),(Datos!M18-Datos!W18)/Datos!W18," - ")</f>
        <v>-0.1</v>
      </c>
      <c r="I18" s="395">
        <f>IF(ISNUMBER((Tasas!C18-Datos!BE18)/Datos!BE18),(Tasas!C18-Datos!BE18)/Datos!BE18," - ")</f>
        <v>-0.89630078835657978</v>
      </c>
      <c r="J18" s="394">
        <f>IF(ISNUMBER((Tasas!D18-Datos!BF18)/Datos!BF18),(Tasas!D18-Datos!BF18)/Datos!BF18," - ")</f>
        <v>-0.47113402061855664</v>
      </c>
      <c r="K18" s="396">
        <f>IF(ISNUMBER((Tasas!E18-Datos!BG18)/Datos!BG18),(Tasas!E18-Datos!BG18)/Datos!BG18," - ")</f>
        <v>-0.20590693786570086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0.20869565217391303</v>
      </c>
      <c r="E23" s="399">
        <f>IF(ISNUMBER(
   IF(D_I="SI",(Datos!J23-Datos!T23)/Datos!T23,(Datos!J23+Datos!AD23-(Datos!T23+Datos!AL23))/(Datos!T23+Datos!AL23))
     ),IF(D_I="SI",(Datos!J23-Datos!T23)/Datos!T23,(Datos!J23+Datos!AD23-(Datos!T23+Datos!AL23))/(Datos!T23+Datos!AL23))," - ")</f>
        <v>1.2683363148479427</v>
      </c>
      <c r="F23" s="399">
        <f>IF(ISNUMBER(
   IF(D_I="SI",(Datos!K23-Datos!U23)/Datos!U23,(Datos!K23+Datos!AE23-(Datos!U23+Datos!AM23))/(Datos!U23+Datos!AM23))
     ),IF(D_I="SI",(Datos!K23-Datos!U23)/Datos!U23,(Datos!K23+Datos!AE23-(Datos!U23+Datos!AM23))/(Datos!U23+Datos!AM23))," - ")</f>
        <v>1.5821501014198782</v>
      </c>
      <c r="G23" s="400">
        <f>IF(ISNUMBER(
   IF(D_I="SI",(Datos!L23-Datos!V23)/Datos!V23,(Datos!L23+Datos!AF23-(Datos!V23+Datos!AN23))/(Datos!V23+Datos!AN23))
     ),IF(D_I="SI",(Datos!L23-Datos!V23)/Datos!V23,(Datos!L23+Datos!AF23-(Datos!V23+Datos!AN23))/(Datos!V23+Datos!AN23))," - ")</f>
        <v>0.23021582733812951</v>
      </c>
      <c r="H23" s="401">
        <f>IF(ISNUMBER((Datos!M23-Datos!W23)/Datos!W23),(Datos!M23-Datos!W23)/Datos!W23," - ")</f>
        <v>0.30921052631578949</v>
      </c>
      <c r="I23" s="402">
        <f>IF(ISNUMBER((Tasas!C23-Datos!BE23)/Datos!BE23),(Tasas!C23-Datos!BE23)/Datos!BE23," - ")</f>
        <v>-0.52356920433802212</v>
      </c>
      <c r="J23" s="400">
        <f>IF(ISNUMBER((Tasas!D23-Datos!BF23)/Datos!BF23),(Tasas!D23-Datos!BF23)/Datos!BF23," - ")</f>
        <v>-0.49297659899946256</v>
      </c>
      <c r="K23" s="403">
        <f>IF(ISNUMBER((Tasas!E23-Datos!BG23)/Datos!BG23),(Tasas!E23-Datos!BG23)/Datos!BG23," - ")</f>
        <v>-0.24115862552357298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3.7181996086105673E-2</v>
      </c>
      <c r="E31" s="409">
        <f>IF(ISNUMBER(
   IF(J_V="SI",(Datos!J31-Datos!T31)/Datos!T31,(Datos!J31+Datos!Z31-(Datos!T31+Datos!AH31))/(Datos!T31+Datos!AH31))
     ),IF(J_V="SI",(Datos!J31-Datos!T31)/Datos!T31,(Datos!J31+Datos!Z31-(Datos!T31+Datos!AH31))/(Datos!T31+Datos!AH31))," - ")</f>
        <v>0.48044328552803128</v>
      </c>
      <c r="F31" s="409">
        <f>IF(ISNUMBER(
   IF(J_V="SI",(Datos!K31-Datos!U31)/Datos!U31,(Datos!K31+Datos!AA31-(Datos!U31+Datos!AI31))/(Datos!U31+Datos!AI31))
     ),IF(J_V="SI",(Datos!K31-Datos!U31)/Datos!U31,(Datos!K31+Datos!AA31-(Datos!U31+Datos!AI31))/(Datos!U31+Datos!AI31))," - ")</f>
        <v>0.40505548705302097</v>
      </c>
      <c r="G31" s="410">
        <f>IF(ISNUMBER(
   IF(J_V="SI",(Datos!L31-Datos!V31)/Datos!V31,(Datos!L31+Datos!AB31-(Datos!V31+Datos!AJ31))/(Datos!V31+Datos!AJ31))
     ),IF(J_V="SI",(Datos!L31-Datos!V31)/Datos!V31,(Datos!L31+Datos!AB31-(Datos!V31+Datos!AJ31))/(Datos!V31+Datos!AJ31))," - ")</f>
        <v>5.7547169811320756E-2</v>
      </c>
      <c r="H31" s="411">
        <f>IF(ISNUMBER((Datos!M31-Datos!W31)/Datos!W31),(Datos!M31-Datos!W31)/Datos!W31," - ")</f>
        <v>0.46641791044776121</v>
      </c>
      <c r="I31" s="408">
        <f>IF(ISNUMBER((Tasas!C31-Datos!BE31)/Datos!BE31),(Tasas!C31-Datos!BE31)/Datos!BE31," - ")</f>
        <v>-0.24732711301712931</v>
      </c>
      <c r="J31" s="409">
        <f>IF(ISNUMBER((Tasas!D31-Datos!BF31)/Datos!BF31),(Tasas!D31-Datos!BF31)/Datos!BF31," - ")</f>
        <v>-0.35103420823029591</v>
      </c>
      <c r="K31" s="410">
        <f>IF(ISNUMBER((Tasas!E31-Datos!BG31)/Datos!BG31),(Tasas!E31-Datos!BG31)/Datos!BG31," - ")</f>
        <v>-7.2486353938559997E-2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5.8942423102627026E-2</v>
      </c>
      <c r="E33" s="303">
        <f t="shared" si="1"/>
        <v>0.73240154980027505</v>
      </c>
      <c r="F33" s="303">
        <f t="shared" si="1"/>
        <v>0.85898949883527953</v>
      </c>
      <c r="G33" s="304">
        <f t="shared" si="1"/>
        <v>0.62912990067287244</v>
      </c>
      <c r="H33" s="310">
        <f t="shared" si="1"/>
        <v>1.5070962196729278</v>
      </c>
      <c r="I33" s="302">
        <f t="shared" si="1"/>
        <v>0.44559679515946804</v>
      </c>
      <c r="J33" s="303">
        <f t="shared" si="1"/>
        <v>2.1342309337942202</v>
      </c>
      <c r="K33" s="304">
        <f t="shared" si="1"/>
        <v>0.18345606918649726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K8QjbLdCAIcgK8JqQ9u53HOp1+EecQP7EpzsbH8DMoK8SW6E4IC1U9G+nrbnT8K1DCoHRkPE5xZRAN3+/KFgw==" saltValue="Ze492pH24bAH09DXxYJj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